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realtyeur-my.sharepoint.com/personal/jgarbutt_digitalrealty_com/Documents/Heat reuse/"/>
    </mc:Choice>
  </mc:AlternateContent>
  <xr:revisionPtr revIDLastSave="0" documentId="8_{6649FDD2-CE64-4AE7-A0C1-12D4B1835599}" xr6:coauthVersionLast="47" xr6:coauthVersionMax="47" xr10:uidLastSave="{00000000-0000-0000-0000-000000000000}"/>
  <bookViews>
    <workbookView xWindow="-108" yWindow="-108" windowWidth="23256" windowHeight="13896" xr2:uid="{00000000-000D-0000-FFFF-FFFF00000000}"/>
  </bookViews>
  <sheets>
    <sheet name="Inputs" sheetId="5" r:id="rId1"/>
    <sheet name="Results-P&amp;L" sheetId="4" r:id="rId2"/>
    <sheet name="PUE Impact" sheetId="10" r:id="rId3"/>
    <sheet name="Data" sheetId="1" state="hidden" r:id="rId4"/>
    <sheet name="SeasonalFactor" sheetId="2" state="hidden" r:id="rId5"/>
    <sheet name="Meteo data + EER" sheetId="7" state="hidden" r:id="rId6"/>
    <sheet name="Calculations" sheetId="3" state="hidden" r:id="rId7"/>
    <sheet name="Equipment References" sheetId="9"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2" l="1"/>
  <c r="E14" i="2"/>
  <c r="E13" i="2"/>
  <c r="E4" i="2"/>
  <c r="E5" i="2"/>
  <c r="E3" i="2"/>
  <c r="E6" i="2"/>
  <c r="E7" i="2"/>
  <c r="E8" i="2"/>
  <c r="E9" i="2"/>
  <c r="E10" i="2"/>
  <c r="E11" i="2"/>
  <c r="E12" i="2"/>
  <c r="C29" i="1"/>
  <c r="C6" i="10" s="1"/>
  <c r="C28" i="1"/>
  <c r="C5" i="10" s="1"/>
  <c r="C24" i="4"/>
  <c r="E27" i="5"/>
  <c r="C57" i="4"/>
  <c r="L86" i="5"/>
  <c r="L46" i="5"/>
  <c r="L51" i="5" s="1" a="1"/>
  <c r="L51" i="5" s="1"/>
  <c r="C61" i="1"/>
  <c r="C25" i="3"/>
  <c r="C62" i="1"/>
  <c r="E46" i="5"/>
  <c r="C8" i="10" l="1"/>
  <c r="C30" i="1"/>
  <c r="C22" i="3"/>
  <c r="D22" i="3" s="1"/>
  <c r="E22" i="3" s="1"/>
  <c r="F22" i="3" s="1"/>
  <c r="G22" i="3" s="1"/>
  <c r="H22" i="3" s="1"/>
  <c r="I22" i="3" s="1"/>
  <c r="J22" i="3" s="1"/>
  <c r="K22" i="3" s="1"/>
  <c r="L22" i="3" s="1"/>
  <c r="M22" i="3" s="1"/>
  <c r="N22" i="3" s="1"/>
  <c r="O22" i="3" s="1"/>
  <c r="P22" i="3" s="1"/>
  <c r="Q22" i="3" s="1"/>
  <c r="R22" i="3" s="1"/>
  <c r="S22" i="3" s="1"/>
  <c r="T22" i="3" s="1"/>
  <c r="U22" i="3" s="1"/>
  <c r="V22" i="3" s="1"/>
  <c r="W22" i="3" s="1"/>
  <c r="D25" i="3"/>
  <c r="E25" i="3" s="1"/>
  <c r="C14" i="1"/>
  <c r="B36" i="7"/>
  <c r="C14" i="4"/>
  <c r="E51" i="5" a="1"/>
  <c r="E51" i="5" s="1"/>
  <c r="C55" i="1"/>
  <c r="C5" i="4" s="1"/>
  <c r="E96" i="5"/>
  <c r="C15" i="1"/>
  <c r="C8" i="1"/>
  <c r="C9" i="1" s="1"/>
  <c r="C59" i="1"/>
  <c r="C58" i="1"/>
  <c r="C66" i="4" s="1"/>
  <c r="C52" i="1"/>
  <c r="C5" i="1"/>
  <c r="C4" i="1"/>
  <c r="F25" i="3" l="1"/>
  <c r="G25" i="3" s="1"/>
  <c r="H25" i="3" s="1"/>
  <c r="I25" i="3" s="1"/>
  <c r="J25" i="3" s="1"/>
  <c r="K25" i="3" s="1"/>
  <c r="L25" i="3" s="1"/>
  <c r="M25" i="3" s="1"/>
  <c r="N25" i="3" s="1"/>
  <c r="O25" i="3" s="1"/>
  <c r="P25" i="3" s="1"/>
  <c r="Q25" i="3" s="1"/>
  <c r="R25" i="3" s="1"/>
  <c r="S25" i="3" s="1"/>
  <c r="T25" i="3" s="1"/>
  <c r="U25" i="3" s="1"/>
  <c r="V25" i="3" s="1"/>
  <c r="W25" i="3" s="1"/>
  <c r="C71" i="4"/>
  <c r="C19" i="4"/>
  <c r="F32" i="4" s="1"/>
  <c r="C11" i="1"/>
  <c r="C60" i="1"/>
  <c r="K32" i="4" l="1"/>
  <c r="H32" i="4"/>
  <c r="Q32" i="4"/>
  <c r="N32" i="4"/>
  <c r="E32" i="4"/>
  <c r="I32" i="4"/>
  <c r="S32" i="4"/>
  <c r="G32" i="4"/>
  <c r="O32" i="4"/>
  <c r="M32" i="4"/>
  <c r="R32" i="4"/>
  <c r="J32" i="4"/>
  <c r="P32" i="4"/>
  <c r="L32" i="4"/>
  <c r="C43" i="1"/>
  <c r="F84" i="5" s="1"/>
  <c r="C34" i="1" s="1"/>
  <c r="C45" i="1"/>
  <c r="F86" i="5" s="1"/>
  <c r="C36" i="1" s="1"/>
  <c r="C42" i="1"/>
  <c r="C18" i="7"/>
  <c r="E18" i="7" s="1"/>
  <c r="F18" i="7" s="1"/>
  <c r="C17" i="7"/>
  <c r="E17" i="7" s="1"/>
  <c r="F17" i="7" s="1"/>
  <c r="C16" i="7"/>
  <c r="E16" i="7" s="1"/>
  <c r="F16" i="7" s="1"/>
  <c r="C15" i="7"/>
  <c r="E15" i="7" s="1"/>
  <c r="F15" i="7" s="1"/>
  <c r="C14" i="7"/>
  <c r="E14" i="7" s="1"/>
  <c r="F14" i="7" s="1"/>
  <c r="C13" i="7"/>
  <c r="E13" i="7" s="1"/>
  <c r="F13" i="7" s="1"/>
  <c r="C12" i="7"/>
  <c r="E12" i="7" s="1"/>
  <c r="F12" i="7" s="1"/>
  <c r="C11" i="7"/>
  <c r="E11" i="7" s="1"/>
  <c r="F11" i="7" s="1"/>
  <c r="C34" i="7"/>
  <c r="E34" i="7" s="1"/>
  <c r="F34" i="7" s="1"/>
  <c r="C33" i="7"/>
  <c r="E33" i="7" s="1"/>
  <c r="F33" i="7" s="1"/>
  <c r="C32" i="7"/>
  <c r="E32" i="7" s="1"/>
  <c r="F32" i="7" s="1"/>
  <c r="C31" i="7"/>
  <c r="E31" i="7" s="1"/>
  <c r="F31" i="7" s="1"/>
  <c r="C30" i="7"/>
  <c r="E30" i="7" s="1"/>
  <c r="F30" i="7" s="1"/>
  <c r="C29" i="7"/>
  <c r="E29" i="7" s="1"/>
  <c r="F29" i="7" s="1"/>
  <c r="C28" i="7"/>
  <c r="E28" i="7" s="1"/>
  <c r="F28" i="7" s="1"/>
  <c r="C27" i="7"/>
  <c r="E27" i="7" s="1"/>
  <c r="F27" i="7" s="1"/>
  <c r="C26" i="7"/>
  <c r="E26" i="7" s="1"/>
  <c r="F26" i="7" s="1"/>
  <c r="C10" i="7"/>
  <c r="E10" i="7" s="1"/>
  <c r="F10" i="7" s="1"/>
  <c r="C9" i="7"/>
  <c r="E9" i="7" s="1"/>
  <c r="F9" i="7" s="1"/>
  <c r="C8" i="7"/>
  <c r="E8" i="7" s="1"/>
  <c r="F8" i="7" s="1"/>
  <c r="C7" i="7"/>
  <c r="E7" i="7" s="1"/>
  <c r="F7" i="7" s="1"/>
  <c r="C6" i="7"/>
  <c r="E6" i="7" s="1"/>
  <c r="F6" i="7" s="1"/>
  <c r="C44" i="1"/>
  <c r="C20" i="7"/>
  <c r="E20" i="7" s="1"/>
  <c r="F20" i="7" s="1"/>
  <c r="C35" i="7"/>
  <c r="E35" i="7" s="1"/>
  <c r="F35" i="7" s="1"/>
  <c r="C19" i="7"/>
  <c r="E19" i="7" s="1"/>
  <c r="F19" i="7" s="1"/>
  <c r="C25" i="7"/>
  <c r="E25" i="7" s="1"/>
  <c r="F25" i="7" s="1"/>
  <c r="C24" i="7"/>
  <c r="E24" i="7" s="1"/>
  <c r="F24" i="7" s="1"/>
  <c r="C23" i="7"/>
  <c r="E23" i="7" s="1"/>
  <c r="F23" i="7" s="1"/>
  <c r="C22" i="7"/>
  <c r="E22" i="7" s="1"/>
  <c r="F22" i="7" s="1"/>
  <c r="C21" i="7"/>
  <c r="E21" i="7" s="1"/>
  <c r="F21" i="7" s="1"/>
  <c r="C5" i="7"/>
  <c r="E5" i="7" s="1"/>
  <c r="F5" i="7" s="1"/>
  <c r="C3" i="7"/>
  <c r="E3" i="7" s="1"/>
  <c r="F3" i="7" s="1"/>
  <c r="C4" i="7"/>
  <c r="E4" i="7" s="1"/>
  <c r="F4" i="7" s="1"/>
  <c r="F85" i="5" l="1"/>
  <c r="C35" i="1" s="1"/>
  <c r="M76" i="5"/>
  <c r="F83" i="5"/>
  <c r="C33" i="1" s="1"/>
  <c r="M75" i="5"/>
  <c r="C46" i="1"/>
  <c r="M77" i="5" s="1"/>
  <c r="F36" i="7"/>
  <c r="F37" i="7" s="1"/>
  <c r="C16" i="3" s="1"/>
  <c r="C17" i="3" s="1"/>
  <c r="C68" i="4" s="1"/>
  <c r="C3" i="3"/>
  <c r="H3" i="2"/>
  <c r="I3" i="2" s="1"/>
  <c r="C4" i="3"/>
  <c r="H4" i="2"/>
  <c r="H5" i="2"/>
  <c r="H6" i="2"/>
  <c r="H7" i="2"/>
  <c r="H8" i="2"/>
  <c r="H9" i="2"/>
  <c r="H10" i="2"/>
  <c r="H11" i="2"/>
  <c r="H12" i="2"/>
  <c r="H13" i="2"/>
  <c r="H14" i="2"/>
  <c r="G4" i="2"/>
  <c r="G6" i="2"/>
  <c r="G7" i="2"/>
  <c r="G8" i="2"/>
  <c r="G9" i="2"/>
  <c r="G10" i="2"/>
  <c r="G11" i="2"/>
  <c r="G12" i="2"/>
  <c r="G13" i="2"/>
  <c r="G14" i="2"/>
  <c r="G3" i="2"/>
  <c r="D68" i="4" l="1"/>
  <c r="C14" i="10"/>
  <c r="C14" i="3"/>
  <c r="C15" i="3" s="1"/>
  <c r="C64" i="4"/>
  <c r="C12" i="4"/>
  <c r="C5" i="3"/>
  <c r="C13" i="3" s="1"/>
  <c r="I7" i="2"/>
  <c r="I11" i="2"/>
  <c r="I6" i="2"/>
  <c r="I8" i="2"/>
  <c r="I9" i="2"/>
  <c r="I10" i="2"/>
  <c r="I5" i="2"/>
  <c r="I4" i="2"/>
  <c r="I14" i="2"/>
  <c r="I13" i="2"/>
  <c r="I12" i="2"/>
  <c r="F87" i="5"/>
  <c r="C38" i="1" s="1"/>
  <c r="C47" i="1"/>
  <c r="M78" i="5" s="1"/>
  <c r="C10" i="1"/>
  <c r="E30" i="4" s="1"/>
  <c r="C18" i="3"/>
  <c r="C19" i="3" s="1"/>
  <c r="D16" i="2"/>
  <c r="K30" i="4" l="1"/>
  <c r="I30" i="4"/>
  <c r="L30" i="4"/>
  <c r="N30" i="4"/>
  <c r="D30" i="4"/>
  <c r="S30" i="4"/>
  <c r="G30" i="4"/>
  <c r="J30" i="4"/>
  <c r="M30" i="4"/>
  <c r="R30" i="4"/>
  <c r="O30" i="4"/>
  <c r="Q30" i="4"/>
  <c r="F30" i="4"/>
  <c r="H30" i="4"/>
  <c r="P30" i="4"/>
  <c r="D17" i="2"/>
  <c r="F88" i="5"/>
  <c r="C37" i="1" s="1"/>
  <c r="C56" i="4" s="1"/>
  <c r="C6" i="3"/>
  <c r="D32" i="4"/>
  <c r="C58" i="4" l="1"/>
  <c r="C60" i="4" s="1"/>
  <c r="C61" i="4"/>
  <c r="C7" i="3"/>
  <c r="C8" i="3" s="1"/>
  <c r="C9" i="3" l="1"/>
  <c r="C10" i="3" s="1"/>
  <c r="C11" i="3" l="1"/>
  <c r="C12" i="3" l="1"/>
  <c r="C62" i="4"/>
  <c r="C70" i="4" s="1"/>
  <c r="C72" i="4" s="1"/>
  <c r="C48" i="1"/>
  <c r="C4" i="4" s="1"/>
  <c r="D29" i="4" l="1"/>
  <c r="C16" i="4"/>
  <c r="O29" i="4"/>
  <c r="M29" i="4"/>
  <c r="K29" i="4"/>
  <c r="S29" i="4"/>
  <c r="J29" i="4"/>
  <c r="G29" i="4"/>
  <c r="C10" i="4"/>
  <c r="R29" i="4"/>
  <c r="I29" i="4"/>
  <c r="F29" i="4"/>
  <c r="H29" i="4"/>
  <c r="E29" i="4"/>
  <c r="P29" i="4"/>
  <c r="N29" i="4"/>
  <c r="L29" i="4"/>
  <c r="Q29" i="4"/>
  <c r="C9" i="4"/>
  <c r="N28" i="4" s="1"/>
  <c r="C6" i="4"/>
  <c r="C8" i="4" s="1"/>
  <c r="G27" i="4" s="1"/>
  <c r="C11" i="10" l="1"/>
  <c r="J27" i="4"/>
  <c r="F28" i="4"/>
  <c r="O28" i="4"/>
  <c r="Q28" i="4"/>
  <c r="H28" i="4"/>
  <c r="J28" i="4"/>
  <c r="R28" i="4"/>
  <c r="L28" i="4"/>
  <c r="E28" i="4"/>
  <c r="K28" i="4"/>
  <c r="G28" i="4"/>
  <c r="G31" i="4" s="1"/>
  <c r="G33" i="4" s="1"/>
  <c r="M28" i="4"/>
  <c r="I28" i="4"/>
  <c r="D28" i="4"/>
  <c r="P28" i="4"/>
  <c r="S28" i="4"/>
  <c r="F27" i="4"/>
  <c r="R27" i="4"/>
  <c r="S27" i="4"/>
  <c r="M27" i="4"/>
  <c r="L27" i="4"/>
  <c r="D27" i="4"/>
  <c r="N27" i="4"/>
  <c r="N31" i="4" s="1"/>
  <c r="N33" i="4" s="1"/>
  <c r="P27" i="4"/>
  <c r="E27" i="4"/>
  <c r="K27" i="4"/>
  <c r="O27" i="4"/>
  <c r="C18" i="4"/>
  <c r="C20" i="4" s="1"/>
  <c r="I27" i="4"/>
  <c r="Q27" i="4"/>
  <c r="H27" i="4"/>
  <c r="D31" i="4" l="1"/>
  <c r="O31" i="4"/>
  <c r="O33" i="4" s="1"/>
  <c r="R31" i="4"/>
  <c r="R33" i="4" s="1"/>
  <c r="J31" i="4"/>
  <c r="J33" i="4" s="1"/>
  <c r="L31" i="4"/>
  <c r="L33" i="4" s="1"/>
  <c r="E31" i="4"/>
  <c r="E33" i="4" s="1"/>
  <c r="I31" i="4"/>
  <c r="I33" i="4" s="1"/>
  <c r="S31" i="4"/>
  <c r="S33" i="4" s="1"/>
  <c r="Q31" i="4"/>
  <c r="Q33" i="4" s="1"/>
  <c r="H31" i="4"/>
  <c r="H33" i="4" s="1"/>
  <c r="F31" i="4"/>
  <c r="F33" i="4" s="1"/>
  <c r="P31" i="4"/>
  <c r="P33" i="4" s="1"/>
  <c r="M31" i="4"/>
  <c r="M33" i="4" s="1"/>
  <c r="K31" i="4"/>
  <c r="K33" i="4" s="1"/>
  <c r="D33" i="4" l="1"/>
  <c r="D34" i="4"/>
  <c r="E34" i="4" s="1"/>
  <c r="F34" i="4" s="1"/>
  <c r="G34" i="4" s="1"/>
  <c r="H34" i="4" s="1"/>
  <c r="I34" i="4" s="1"/>
  <c r="J34" i="4" s="1"/>
  <c r="K34" i="4" s="1"/>
  <c r="L34" i="4" s="1"/>
  <c r="M34" i="4" s="1"/>
  <c r="N34" i="4" s="1"/>
  <c r="O34" i="4" s="1"/>
  <c r="P34" i="4" s="1"/>
  <c r="Q34" i="4" s="1"/>
  <c r="R34" i="4" s="1"/>
  <c r="S34"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tc={E63B252B-28F2-42B9-8CB1-8102677E38AC}</author>
    <author>tc={A6D39C80-5FF7-4B57-A8D0-F57F5CCE88A1}</author>
  </authors>
  <commentList>
    <comment ref="J64" authorId="0" shapeId="0" xr:uid="{E63B252B-28F2-42B9-8CB1-8102677E38AC}">
      <text>
        <t>[Threaded comment]
Your version of Excel allows you to read this threaded comment; however, any edits to it will get removed if the file is opened in a newer version of Excel. Learn more: https://go.microsoft.com/fwlink/?linkid=870924
Comment:
    I think we should add in a question to indicate if the DC needs to plan for covering that (in scope or out of scope assumption)</t>
      </text>
    </comment>
    <comment ref="C72" authorId="1" shapeId="0" xr:uid="{A6D39C80-5FF7-4B57-A8D0-F57F5CCE88A1}">
      <text>
        <t>[Threaded comment]
Your version of Excel allows you to read this threaded comment; however, any edits to it will get removed if the file is opened in a newer version of Excel. Learn more: https://go.microsoft.com/fwlink/?linkid=870924
Comment:
    I think we should add in a question to indicate if the DC needs to plan for covering that (in scope or out of scope assumption)</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<sst xmlns="http://schemas.openxmlformats.org/spreadsheetml/2006/main" count="676" uniqueCount="476">
  <si>
    <t xml:space="preserve">For calculation purposes, each decision-tree choice is treated as an explicit assumption and must be documented with associated data inputs within the Decision &amp; Assumptions Excel. The calculator will only use values captured through this structure. </t>
  </si>
  <si>
    <t>SECTION A — PROJECT &amp; BASELINE FEASIBILITY</t>
  </si>
  <si>
    <t>A1</t>
  </si>
  <si>
    <t>→ activates:</t>
  </si>
  <si>
    <t>Project Name</t>
  </si>
  <si>
    <t>PAR18</t>
  </si>
  <si>
    <t>Date</t>
  </si>
  <si>
    <t>A2</t>
  </si>
  <si>
    <t>Yes</t>
  </si>
  <si>
    <t>No → STOP (calculator disabled)</t>
  </si>
  <si>
    <t>A3</t>
  </si>
  <si>
    <t>No</t>
  </si>
  <si>
    <t>SECTION B — HEAT AVAILABILITY &amp; OPERATING PROFILE</t>
  </si>
  <si>
    <t>B1</t>
  </si>
  <si>
    <t>Q1. What is the Annual available energy needed (MWh)</t>
  </si>
  <si>
    <t>B2</t>
  </si>
  <si>
    <t>Q2. Do you know how many hours per year is this heat available?</t>
  </si>
  <si>
    <t>if not specified, the usage time will be considered over the heat season period (Nov --&gt; March)</t>
  </si>
  <si>
    <t>→ activates (if yes):</t>
  </si>
  <si>
    <t>simulated</t>
  </si>
  <si>
    <t>indicated</t>
  </si>
  <si>
    <t>Usage rate (hours/year)</t>
  </si>
  <si>
    <t>B3</t>
  </si>
  <si>
    <t>Q3. Do you know the heating power required by the district heating system?</t>
  </si>
  <si>
    <t>if not specified, the energy volume (in MWh) will be smoothed over the period</t>
  </si>
  <si>
    <t>→ activates (if Yes):</t>
  </si>
  <si>
    <t>Heat power demand (kW)</t>
  </si>
  <si>
    <t>SECTION C — TEMPERATURE LEVELS &amp; HEAT PUMP NEED</t>
  </si>
  <si>
    <t>C1</t>
  </si>
  <si>
    <t>Q6. What are the DC water loop temperatures?</t>
  </si>
  <si>
    <t>DC inlet water temperature (°C)</t>
  </si>
  <si>
    <t>DC outlet water temperature (°C)</t>
  </si>
  <si>
    <t>C2</t>
  </si>
  <si>
    <t>Q7. What supply temperature is required by the heat network?</t>
  </si>
  <si>
    <t>Desired outlet temperature (°C)</t>
  </si>
  <si>
    <t>C3</t>
  </si>
  <si>
    <t>Q8. Is a heat pump required to reach this temperature?</t>
  </si>
  <si>
    <t xml:space="preserve"> No (direct heat reuse)</t>
  </si>
  <si>
    <t>C4</t>
  </si>
  <si>
    <t>Q9. Medium COP heat pump ?</t>
  </si>
  <si>
    <r>
      <t xml:space="preserve">This is a </t>
    </r>
    <r>
      <rPr>
        <b/>
        <sz val="11"/>
        <color theme="1"/>
        <rFont val="Calibri"/>
        <family val="2"/>
        <scheme val="minor"/>
      </rPr>
      <t>critical decision gate</t>
    </r>
    <r>
      <rPr>
        <sz val="11"/>
        <color theme="1"/>
        <rFont val="Calibri"/>
        <family val="2"/>
        <scheme val="minor"/>
      </rPr>
      <t>.</t>
    </r>
  </si>
  <si>
    <t>If “Yes”, electricity cost becomes structurally relevant later.</t>
  </si>
  <si>
    <t xml:space="preserve">SECTION D — DISTANCE </t>
  </si>
  <si>
    <t>D1</t>
  </si>
  <si>
    <t>Q10. Distance from DC to heat network connection point?</t>
  </si>
  <si>
    <t>SECTION F — CAPEX RESPONSIBILITY &amp; COST BLOCKS</t>
  </si>
  <si>
    <t>→ if Yes, activates corresponding inputs:</t>
  </si>
  <si>
    <t>Exchanger cost</t>
  </si>
  <si>
    <t>Cost of pump &amp; fixed equipment</t>
  </si>
  <si>
    <t>Electrical connection cost</t>
  </si>
  <si>
    <t>Study cost</t>
  </si>
  <si>
    <t>Control/Automation</t>
  </si>
  <si>
    <t>F2</t>
  </si>
  <si>
    <t>Q13. Should contingency / unknown risk be included?</t>
  </si>
  <si>
    <t>→ activates if yes</t>
  </si>
  <si>
    <t>F3</t>
  </si>
  <si>
    <t>Q14. Are subsidies included in the economic case?</t>
  </si>
  <si>
    <t>Subsidy (EUR)</t>
  </si>
  <si>
    <t>SECTION G — FINANCIAL &amp; OPERATING ASSUMPTIONS</t>
  </si>
  <si>
    <t>G1</t>
  </si>
  <si>
    <t>Q15. Economic lifetime / contract duration (years)?</t>
  </si>
  <si>
    <t>Amortization period (years)</t>
  </si>
  <si>
    <t>G2</t>
  </si>
  <si>
    <t>Q16. Discount rate to be applied?</t>
  </si>
  <si>
    <t>Discount rate (%)</t>
  </si>
  <si>
    <t>G3</t>
  </si>
  <si>
    <t>Q17. Annual O&amp;M as % of CAPEX?</t>
  </si>
  <si>
    <t>Annual O&amp;M (% of CAPEX)</t>
  </si>
  <si>
    <t>SECTION H — ELECTRICITY COST (ONLY IF TRIGGERED)</t>
  </si>
  <si>
    <t>H1</t>
  </si>
  <si>
    <t xml:space="preserve"> DC operator</t>
  </si>
  <si>
    <t xml:space="preserve"> Heat network</t>
  </si>
  <si>
    <t xml:space="preserve"> Not applicable (no heat pump)</t>
  </si>
  <si>
    <t>→ activates (if DC operator):</t>
  </si>
  <si>
    <t>Cost of electricity (EUR/kWh)</t>
  </si>
  <si>
    <r>
      <t xml:space="preserve">This question should be </t>
    </r>
    <r>
      <rPr>
        <b/>
        <sz val="11"/>
        <color theme="1"/>
        <rFont val="Calibri"/>
        <family val="2"/>
        <scheme val="minor"/>
      </rPr>
      <t>greyed out</t>
    </r>
    <r>
      <rPr>
        <sz val="11"/>
        <color theme="1"/>
        <rFont val="Calibri"/>
        <family val="2"/>
        <scheme val="minor"/>
      </rPr>
      <t xml:space="preserve"> unless a heat pump is selected.</t>
    </r>
  </si>
  <si>
    <t>Parameter</t>
  </si>
  <si>
    <t>Value (enter)</t>
  </si>
  <si>
    <t>Units</t>
  </si>
  <si>
    <t>Energy reused (MWh/anj)</t>
  </si>
  <si>
    <t>MWh</t>
  </si>
  <si>
    <t>Energy recovered after losses and efficiencies (MWh)</t>
  </si>
  <si>
    <t>h/an</t>
  </si>
  <si>
    <t>Available power (kW) - maximum heat flow</t>
  </si>
  <si>
    <t>kW</t>
  </si>
  <si>
    <t>°C</t>
  </si>
  <si>
    <t>Distance to the connexion point to the heating network (m)</t>
  </si>
  <si>
    <t xml:space="preserve">m </t>
  </si>
  <si>
    <t>one-way</t>
  </si>
  <si>
    <t>Estimated average power consumption in free-cooling mode</t>
  </si>
  <si>
    <t>Dry cooler pumps substituted</t>
  </si>
  <si>
    <t>Linear Casing Heat Loss (W/m.K) (est.)</t>
  </si>
  <si>
    <t>W per m per K</t>
  </si>
  <si>
    <t xml:space="preserve">Capture efficiency (fraction) </t>
  </si>
  <si>
    <t xml:space="preserve"> -</t>
  </si>
  <si>
    <t>fraction</t>
  </si>
  <si>
    <t>Heat exchanger efficiency (fraction)</t>
  </si>
  <si>
    <t>Fractional network losses (%)</t>
  </si>
  <si>
    <t xml:space="preserve">% </t>
  </si>
  <si>
    <t>Heat losses on transport</t>
  </si>
  <si>
    <t>Collector Target Speed (m/s)</t>
  </si>
  <si>
    <t>m/s</t>
  </si>
  <si>
    <t>Water density (kg/m3)</t>
  </si>
  <si>
    <t>Cp water (kWh/kg.K)</t>
  </si>
  <si>
    <t>Local Specific Pressure Drop (kPa) - Additional</t>
  </si>
  <si>
    <t>kPa</t>
  </si>
  <si>
    <t>COP heat pump</t>
  </si>
  <si>
    <t>NA</t>
  </si>
  <si>
    <t xml:space="preserve">CAPEX (manually) </t>
  </si>
  <si>
    <t>Exchanger cost (EUR)</t>
  </si>
  <si>
    <t xml:space="preserve">EUR </t>
  </si>
  <si>
    <t>PAC cost (EUR)</t>
  </si>
  <si>
    <t>EUR</t>
  </si>
  <si>
    <t>Cost of pump &amp; fixed equipment (EUR)</t>
  </si>
  <si>
    <t>Electrical Connection Cost (EUR)</t>
  </si>
  <si>
    <t>Control/Automation (EUR)</t>
  </si>
  <si>
    <t>Study cost (EUR)</t>
  </si>
  <si>
    <t>CAPEX (simulation)</t>
  </si>
  <si>
    <t>150€/kW</t>
  </si>
  <si>
    <t xml:space="preserve">5% CAPEX </t>
  </si>
  <si>
    <t>10% CAPEX</t>
  </si>
  <si>
    <t>Unknown Risk(EUR)</t>
  </si>
  <si>
    <t>OPEX</t>
  </si>
  <si>
    <t>%</t>
  </si>
  <si>
    <t>EUR/kWh</t>
  </si>
  <si>
    <t>Subsidiary</t>
  </si>
  <si>
    <t>Subsidiary (EUR)</t>
  </si>
  <si>
    <t>ans</t>
  </si>
  <si>
    <t>Annuity Factor (CRF)</t>
  </si>
  <si>
    <t>Month</t>
  </si>
  <si>
    <t>Seasonal Factor (0-1)</t>
  </si>
  <si>
    <t>Adjusted Available Power (kW)</t>
  </si>
  <si>
    <t>Energy Gross Month (MWh)</t>
  </si>
  <si>
    <t>Jan</t>
  </si>
  <si>
    <t>Broken circular ref; old formula: =$G$2</t>
  </si>
  <si>
    <t>Feb</t>
  </si>
  <si>
    <t>Mar</t>
  </si>
  <si>
    <t>Apr</t>
  </si>
  <si>
    <t>May</t>
  </si>
  <si>
    <t>Jun</t>
  </si>
  <si>
    <t>Jul</t>
  </si>
  <si>
    <t>Aug</t>
  </si>
  <si>
    <t>Sep</t>
  </si>
  <si>
    <t>Oct</t>
  </si>
  <si>
    <t>Nov</t>
  </si>
  <si>
    <t>Dec</t>
  </si>
  <si>
    <t>Recoverable / potential energy (MWh/year)</t>
  </si>
  <si>
    <t>Energy recovered / delivered (MWh/year)</t>
  </si>
  <si>
    <t>Temperatures</t>
  </si>
  <si>
    <t>hours</t>
  </si>
  <si>
    <t>Chiller cooling capacity</t>
  </si>
  <si>
    <t>Chiller EER</t>
  </si>
  <si>
    <t>Chiller consumption</t>
  </si>
  <si>
    <t>Energy Saved</t>
  </si>
  <si>
    <t>Power Saved</t>
  </si>
  <si>
    <t>DeltaT (K)</t>
  </si>
  <si>
    <t>Available rated power (kW)</t>
  </si>
  <si>
    <t>Mass flow rate m_dot (kg/s)</t>
  </si>
  <si>
    <t>Volume flow rate Q (m3/s)</t>
  </si>
  <si>
    <t>Estimated Collector Diameter (m)</t>
  </si>
  <si>
    <t>Estimated Diameter (mm)</t>
  </si>
  <si>
    <t>Actual speed (m/s)</t>
  </si>
  <si>
    <t xml:space="preserve">Pressure Drop (Pa) </t>
  </si>
  <si>
    <t>Approximate pump power (kW)</t>
  </si>
  <si>
    <t>Approximate pump energy (kWh/year)</t>
  </si>
  <si>
    <t>Power required to raise temperature (kW)</t>
  </si>
  <si>
    <t>Electrical power of the heat pump (kW)</t>
  </si>
  <si>
    <t>Energy consumed by the heat pump (kWh/year)</t>
  </si>
  <si>
    <t>Data Center Power Saved (kW)</t>
  </si>
  <si>
    <t>Energy saved by data center (kWh)</t>
  </si>
  <si>
    <t>Transmission heat losses (kW)</t>
  </si>
  <si>
    <t>Transport loss fraction (%)</t>
  </si>
  <si>
    <t xml:space="preserve">CAPEX </t>
  </si>
  <si>
    <t>Subsidies</t>
  </si>
  <si>
    <t xml:space="preserve">Total CAPEX </t>
  </si>
  <si>
    <t>Annualised CAPEX (EUR/year)</t>
  </si>
  <si>
    <t>EUR/year</t>
  </si>
  <si>
    <t xml:space="preserve">Annual O&amp;M - excluding electricity </t>
  </si>
  <si>
    <t xml:space="preserve">Electricty Cost </t>
  </si>
  <si>
    <t>Total Energy saved (EUR/year)</t>
  </si>
  <si>
    <t xml:space="preserve">Contract duration </t>
  </si>
  <si>
    <t>years</t>
  </si>
  <si>
    <t xml:space="preserve">Total annual cost </t>
  </si>
  <si>
    <t xml:space="preserve">Annual energy delivered </t>
  </si>
  <si>
    <t>MWh/year</t>
  </si>
  <si>
    <t xml:space="preserve">DC Heat Price </t>
  </si>
  <si>
    <t>EUR/MWh</t>
  </si>
  <si>
    <t>Target Heat Price (EUR/MWh)</t>
  </si>
  <si>
    <t>Target Heat Price / Year</t>
  </si>
  <si>
    <t>CAPEX</t>
  </si>
  <si>
    <t>Electricity cost</t>
  </si>
  <si>
    <t>Total Cost</t>
  </si>
  <si>
    <t>Energy sold</t>
  </si>
  <si>
    <t>P&amp;L (yearly)</t>
  </si>
  <si>
    <t>P&amp;L (cumulative)</t>
  </si>
  <si>
    <t xml:space="preserve">Q12. Do you want to use simulated CAPEX data for equipment? </t>
  </si>
  <si>
    <t>TECHNICAL Data</t>
  </si>
  <si>
    <t>FINANCIAL Data</t>
  </si>
  <si>
    <t>DC Inlet Water Temperature (°C)</t>
  </si>
  <si>
    <t>DC Outlet water temperature (°C)</t>
  </si>
  <si>
    <t>It is understood that COP will vary significantly with ambient and source temperature.</t>
  </si>
  <si>
    <t>Note: At 1km the pipeline loss is no longer negligible, especially at 25–35°C supply temperature where the ΔT to ambient is small.</t>
  </si>
  <si>
    <t>Values</t>
  </si>
  <si>
    <t>Calculating Topic</t>
  </si>
  <si>
    <t>Hours/ month</t>
  </si>
  <si>
    <t>EQUIPMENT REFERENCE — HEAT PUMPS &amp; HEAT EXCHANGERS FOR DC HEAT REUSE</t>
  </si>
  <si>
    <t>European market reference data for ROM-stage cost estimation  |  Prices are indicative benchmarks only — always obtain project-specific quotations from manufacturers  |  Update the 'Local Price / Notes' column with your actual supplier quotes</t>
  </si>
  <si>
    <t>HOW TO USE THIS TAB</t>
  </si>
  <si>
    <t>Relevant range for DC heat reuse: 500 kW – 5 MW thermal output, lifting ~25–35°C source to 60–85°C delivery.  The simulator (PAR18 example) requires ~1,655 kW thermal at 80–85°C — this sits in the mid-range of the platforms below.</t>
  </si>
  <si>
    <t>Manufacturer</t>
  </si>
  <si>
    <t>Product / Series</t>
  </si>
  <si>
    <t>HQ Country</t>
  </si>
  <si>
    <t>Capacity Range
(thermal output)</t>
  </si>
  <si>
    <t>Max Supply
Temp (°C)</t>
  </si>
  <si>
    <t>Refrigerant(s)</t>
  </si>
  <si>
    <t>ROM Cost — Equipment
Supply Only (€/kW th)</t>
  </si>
  <si>
    <t>ROM Cost — Installed
Turnkey (€/kW th)</t>
  </si>
  <si>
    <t>Cost Basis
(per unit or /kW)</t>
  </si>
  <si>
    <t>Source /
Last Verified</t>
  </si>
  <si>
    <t>Local Price / Notes
(update with your quote)</t>
  </si>
  <si>
    <t>GEA Group</t>
  </si>
  <si>
    <t>RedAstrum</t>
  </si>
  <si>
    <t>Germany</t>
  </si>
  <si>
    <t>750 kW – 2,900 kW
(standard range;
custom beyond)</t>
  </si>
  <si>
    <t>55–80°C standard
(higher on request)</t>
  </si>
  <si>
    <t>Ammonia (R-717)
screw compressor</t>
  </si>
  <si>
    <t>€350 – 550 /kW th</t>
  </si>
  <si>
    <t>€550 – 900 /kW th</t>
  </si>
  <si>
    <t>Per kW thermal
output</t>
  </si>
  <si>
    <t>Market benchmark
Q1 2026</t>
  </si>
  <si>
    <t>RedGenium
(next-gen)</t>
  </si>
  <si>
    <t>Custom — higher
temp / efficiency
than RedAstrum</t>
  </si>
  <si>
    <t>Up to 95°C+</t>
  </si>
  <si>
    <t>Ammonia (R-717)</t>
  </si>
  <si>
    <t>€400 – 650 /kW th
(premium vs RedAstrum)</t>
  </si>
  <si>
    <t>€650 – 1,050 /kW th</t>
  </si>
  <si>
    <t>Oilon</t>
  </si>
  <si>
    <t>ChillHeat S
(S600–S2000)</t>
  </si>
  <si>
    <t>Finland</t>
  </si>
  <si>
    <t>600 kW – 5 MW
per unit; cascadable</t>
  </si>
  <si>
    <t>~85°C max
flow temp</t>
  </si>
  <si>
    <t>HFC / HFO /
Natural refrigerants</t>
  </si>
  <si>
    <t>€300 – 500 /kW th</t>
  </si>
  <si>
    <t>€500 – 850 /kW th</t>
  </si>
  <si>
    <t>ChillHeat RE
series</t>
  </si>
  <si>
    <t>30 kW – 580 kW
per unit</t>
  </si>
  <si>
    <t>&gt;60°C from cold
inlet; up to ~70°C</t>
  </si>
  <si>
    <t>HFC / HFO</t>
  </si>
  <si>
    <t>Star Refrigeration
(Azane platform)</t>
  </si>
  <si>
    <t>Azane series</t>
  </si>
  <si>
    <t>UK / Europe</t>
  </si>
  <si>
    <t>200 kW – 2 MW+
ammonia units</t>
  </si>
  <si>
    <t>Up to 90°C</t>
  </si>
  <si>
    <t>Ammonia (R-717)
— low charge</t>
  </si>
  <si>
    <t>€400 – 650 /kW th</t>
  </si>
  <si>
    <t>€600 – 1,000 /kW th</t>
  </si>
  <si>
    <t>MAN Energy
Solutions
(now Everllence)</t>
  </si>
  <si>
    <t>HOFIM / ETES
platform</t>
  </si>
  <si>
    <t>Switzerland / DE</t>
  </si>
  <si>
    <t>10 MW – 90 MW+
per unit</t>
  </si>
  <si>
    <t>60–280°C</t>
  </si>
  <si>
    <t>CO₂ (R-744)
natural refrigerant</t>
  </si>
  <si>
    <t>Not applicable
at DC project scale
(&lt;5 MW)</t>
  </si>
  <si>
    <t>Not applicable
at DC project scale</t>
  </si>
  <si>
    <t>MW-scale city
DHN only</t>
  </si>
  <si>
    <t>Siemens Energy</t>
  </si>
  <si>
    <t>Industrial HP
platform</t>
  </si>
  <si>
    <t>5 MW – 50 MW+</t>
  </si>
  <si>
    <t>Up to 160°C
(high-temp variants)</t>
  </si>
  <si>
    <t>Various</t>
  </si>
  <si>
    <t>Not applicable
at typical DC scale</t>
  </si>
  <si>
    <t>MW-scale
DHN only</t>
  </si>
  <si>
    <t>Viessmann /
Vitodens
(commercial)</t>
  </si>
  <si>
    <t>Vitocal 350-HT
and custom
industrial range</t>
  </si>
  <si>
    <t>Up to ~2 MW
(modular systems)</t>
  </si>
  <si>
    <t>75°C standard;
85°C high-temp
variants</t>
  </si>
  <si>
    <t>R-134a / R-1234ze
HFO low-GWP</t>
  </si>
  <si>
    <t>€350 – 600 /kW th</t>
  </si>
  <si>
    <t>€550 – 950 /kW th</t>
  </si>
  <si>
    <t>Friotherm
(Sulzer Group)</t>
  </si>
  <si>
    <t>Unitop series
(Unitop 50FY
and variants)</t>
  </si>
  <si>
    <t>Switzerland</t>
  </si>
  <si>
    <t>1 MW – 30 MW
per unit</t>
  </si>
  <si>
    <t>Up to 90°C
(standard)</t>
  </si>
  <si>
    <t>R-134a /
R-1234ze</t>
  </si>
  <si>
    <t>€400 – 700 /kW th</t>
  </si>
  <si>
    <t>€650 – 1,100 /kW th</t>
  </si>
  <si>
    <t>A primary plate heat exchanger (PHE) is installed at the DC cooling loop interface to provide hydraulic separation and prevent contamination. At 1–2 MW thermal, this is a relatively modest unit (100–500 plates). The simulator uses €50/kW (€83k for 1,655 kW) — this is reasonable if equipment-only and single-duty.</t>
  </si>
  <si>
    <t>Capacity Range
(thermal duty)</t>
  </si>
  <si>
    <t>Max Operating
Temp / Pressure</t>
  </si>
  <si>
    <t>Construction
Type</t>
  </si>
  <si>
    <t>ROM Cost —
Equipment (€/kW th
or indicative unit)</t>
  </si>
  <si>
    <t>Installed Cost
(equipment +
installation)</t>
  </si>
  <si>
    <t>Cost Basis</t>
  </si>
  <si>
    <t>Alfa Laval</t>
  </si>
  <si>
    <t>Sweden</t>
  </si>
  <si>
    <t>100 kW – 10 MW+
(add plates to scale)</t>
  </si>
  <si>
    <t>Alfa Laval
published range
Q1 2026</t>
  </si>
  <si>
    <t>50 kW – 5 MW+</t>
  </si>
  <si>
    <t>Up to 150°C /
16 bar</t>
  </si>
  <si>
    <t>€20 – 60/kW th</t>
  </si>
  <si>
    <t>Alfa Laval
market data
Q1 2026</t>
  </si>
  <si>
    <t>Kelvion</t>
  </si>
  <si>
    <t>100 kW – 10 MW+</t>
  </si>
  <si>
    <t>Up to 180°C /
25 bar</t>
  </si>
  <si>
    <t>€22 – 65/kW th</t>
  </si>
  <si>
    <t>Kelvion market
data Q1 2026</t>
  </si>
  <si>
    <t>SWEP
(Dover Corp.)</t>
  </si>
  <si>
    <t>Up to 225°C /
45 bar</t>
  </si>
  <si>
    <t>€30 – 80/kW th</t>
  </si>
  <si>
    <t>SWEP / market
Q1 2026</t>
  </si>
  <si>
    <t>Danfoss</t>
  </si>
  <si>
    <t>Denmark</t>
  </si>
  <si>
    <t>20 kW – 2 MW+</t>
  </si>
  <si>
    <t>Up to 180°C /
30 bar</t>
  </si>
  <si>
    <t>€18 – 55/kW th</t>
  </si>
  <si>
    <t>€28 – 75/kW th</t>
  </si>
  <si>
    <t>Danfoss
market data
Q1 2026</t>
  </si>
  <si>
    <t>Tranter
(part of Alfa
Laval Group)</t>
  </si>
  <si>
    <t>GC / GX Gasketed
PHE — industrial
grade</t>
  </si>
  <si>
    <t>USA / Europe</t>
  </si>
  <si>
    <t>200 kW – 20 MW+</t>
  </si>
  <si>
    <t>Up to 200°C /
25 bar</t>
  </si>
  <si>
    <t>€20 – 50/kW th</t>
  </si>
  <si>
    <t>€30 – 75/kW th</t>
  </si>
  <si>
    <t xml:space="preserve">  SECTION 3 — CAPEX RATE BENCHMARK vs SIMULATOR ASSUMPTIONS  (for 1,655 kW thermal — PAR18 example)</t>
  </si>
  <si>
    <t>Cost Item</t>
  </si>
  <si>
    <t>Simulator Rate
(simulated mode)</t>
  </si>
  <si>
    <t>Simulator Total
(€)</t>
  </si>
  <si>
    <t>Market ROM
Low (€/kW)</t>
  </si>
  <si>
    <t>Market ROM
High (€/kW)</t>
  </si>
  <si>
    <t>Market Total
Low (€)</t>
  </si>
  <si>
    <t>Market Total
High (€)</t>
  </si>
  <si>
    <t>Gap Assessment</t>
  </si>
  <si>
    <t>Comments</t>
  </si>
  <si>
    <t>Heat Pump (PAC)</t>
  </si>
  <si>
    <t>€300/kW th</t>
  </si>
  <si>
    <t>⚠ UNDERSTATED</t>
  </si>
  <si>
    <t>Simulator uses equipment-supply rate only. Market range is wider and installation adds 30–50% on top. Recommend €400–600/kW as ROM minimum.</t>
  </si>
  <si>
    <t>Primary Heat Exchanger</t>
  </si>
  <si>
    <t>€50/kW th</t>
  </si>
  <si>
    <t>✓ REASONABLE</t>
  </si>
  <si>
    <t>Pumps &amp; Fixed Equipment</t>
  </si>
  <si>
    <t>€150/kW th</t>
  </si>
  <si>
    <t>Reasonable for circulation pumps, pipework, valves and ancillary equipment within the plant room.</t>
  </si>
  <si>
    <t>Electrical Connection</t>
  </si>
  <si>
    <t>€70/kW th</t>
  </si>
  <si>
    <t>€300+</t>
  </si>
  <si>
    <t>€496,500+</t>
  </si>
  <si>
    <t>⚠ POTENTIALLY
UNDERSTATED</t>
  </si>
  <si>
    <t>Control / Automation</t>
  </si>
  <si>
    <t>Reasonable for SCADA, instrumentation, metering and interface with DC BMS. Confirm scope includes DHN metering interface.</t>
  </si>
  <si>
    <t>Study / Engineering</t>
  </si>
  <si>
    <t>€5% CAPEX</t>
  </si>
  <si>
    <t>5–10%</t>
  </si>
  <si>
    <t>10–15%</t>
  </si>
  <si>
    <t>⚠ LOW FOR ROM
STAGE</t>
  </si>
  <si>
    <t>5% is appropriate for detailed design. For ROM/feasibility stage the study cost to reach FID is typically 8–15% of total CAPEX. Consider increasing.</t>
  </si>
  <si>
    <t>Contingency</t>
  </si>
  <si>
    <t>⚠ LOW FOR
ROM STAGE</t>
  </si>
  <si>
    <t>10% contingency is appropriate for detailed design. ROM-stage contingency should be 20–30% to reflect uncertainty in scope and pricing.</t>
  </si>
  <si>
    <t>Civil Works / Pipeline
(ABSENT from simulator)</t>
  </si>
  <si>
    <t>—  NOT INCLUDED  —</t>
  </si>
  <si>
    <t>€150/m
(greenfield)</t>
  </si>
  <si>
    <t>€2,500/m
(urban)</t>
  </si>
  <si>
    <t>€15,000
(100m greenfield)</t>
  </si>
  <si>
    <t>€250,000+
(100m urban)</t>
  </si>
  <si>
    <t>⚠ MISSING
COST LINE</t>
  </si>
  <si>
    <t>Critical gap. Even at 100m (the PAR18 example), civil works for pipeline installation could add €15k–250k depending on urban/greenfield. Must be added as a parametric input.</t>
  </si>
  <si>
    <t>IMPORTANT: All prices are indicative ROM benchmarks for early-stage feasibility only. Actual prices depend on project-specific scope, site conditions, refrigerant choice, delivery programme, country of installation and prevailing market conditions. Always obtain written budgetary quotations from at least two manufacturers before using these figures in any investment decision. Prices correct to Q1 2026 — update the 'Last Verified' column when refreshing data.</t>
  </si>
  <si>
    <t>1.  Use this tab as a starting point when populating CAPEX assumptions in the 'Data' tab. The ROM ranges below reflect current European market intelligence (Q1 2026) but will change — update regularly.
2.  Prices are equipment-supply only unless stated. Installed / turnkey costs are higher — see the 'Installed' column.
3.  Column L (yellow) is your working column: enter the actual budgetary price received from your local supplier and the date. This overrides the ROM benchmark for your specific project.</t>
  </si>
  <si>
    <t>⚠ Only relevant for very large-scale DHN projects (10 MW+). Not suitable for typical DC heat reuse.</t>
  </si>
  <si>
    <t>⚠ Relevant for large DHN utility investment. Not sized for &lt;5 MW DC heat reuse projects.</t>
  </si>
  <si>
    <t>Typically used inside HP unit (evaporator / condenser). Less common as primary DC interface exchanger above 500 kW.</t>
  </si>
  <si>
    <t>€60/kW th
(10% CAPEX note in Data)</t>
  </si>
  <si>
    <r>
      <t xml:space="preserve">  SECTION 1 — </t>
    </r>
    <r>
      <rPr>
        <b/>
        <sz val="12"/>
        <color rgb="FFFFFF00"/>
        <rFont val="Aptos"/>
        <family val="2"/>
      </rPr>
      <t>HEAT PUMPS</t>
    </r>
    <r>
      <rPr>
        <b/>
        <sz val="12"/>
        <color rgb="FFFFFFFF"/>
        <rFont val="Aptos"/>
        <family val="2"/>
      </rPr>
      <t xml:space="preserve">  (water-source, waste heat recovery, district heating delivery)</t>
    </r>
  </si>
  <si>
    <r>
      <t xml:space="preserve">  SECTION 2 — </t>
    </r>
    <r>
      <rPr>
        <b/>
        <sz val="12"/>
        <color rgb="FFFFFF00"/>
        <rFont val="Aptos"/>
        <family val="2"/>
      </rPr>
      <t>HEAT EXCHANGERS</t>
    </r>
    <r>
      <rPr>
        <b/>
        <sz val="12"/>
        <color rgb="FFFFFFFF"/>
        <rFont val="Aptos"/>
        <family val="2"/>
      </rPr>
      <t xml:space="preserve">  (primary interface: DC cooling loop → heat pump evaporator)</t>
    </r>
  </si>
  <si>
    <t>Gasketed plate &amp; frame (GPHE) stainless steel or titanium</t>
  </si>
  <si>
    <t>Gasketed plate &amp; frame</t>
  </si>
  <si>
    <t>Gasketed plate &amp; frame stainless / titanium</t>
  </si>
  <si>
    <t>Brazed stainless steel - compact, no gaskets</t>
  </si>
  <si>
    <t>Brazed or gasketed PHE</t>
  </si>
  <si>
    <t>Gasketed plate &amp; frame - heavy industrial</t>
  </si>
  <si>
    <t>€15 – 45/kW th
(equipment only) ~€15k–75k typical for 1–2 MW unit</t>
  </si>
  <si>
    <t>€12 – 40/kW th
(slightly lower than M-series)</t>
  </si>
  <si>
    <t>€13 – 42/kW th
(competitive with Alfa Laval)</t>
  </si>
  <si>
    <t>€20 – 60/kW th
(higher per kW due to compact format)</t>
  </si>
  <si>
    <t xml:space="preserve">€25 – 70/kW th
(inc. frame, connections and basic installation) </t>
  </si>
  <si>
    <t>Per kW thermal
duty at design conditions</t>
  </si>
  <si>
    <t>Per kW thermal duty</t>
  </si>
  <si>
    <t>Up to 180°C /
25 bar (standard grades)</t>
  </si>
  <si>
    <t>50 kW – 1 MW
(larger duties use multiple units)</t>
  </si>
  <si>
    <t>At upper end of market range - acceptable if it includes frame, connections and installation. Cross-check with Alfa Laval / Kelvion budgetary quote.</t>
  </si>
  <si>
    <t>If this covers only in-house cabling, €70/kW is plausible. If it is meant to include DSO grid reinforcement for the HP load, it is severely understated - grid connection alone can be €200–500k irrespective of capacity.</t>
  </si>
  <si>
    <t>Market benchmark Q1 2026</t>
  </si>
  <si>
    <t>Nordic project data + Pure Thermal UK Q1 2026</t>
  </si>
  <si>
    <t>Oilon published range Q1 2026</t>
  </si>
  <si>
    <t>Star published data Q1 2026</t>
  </si>
  <si>
    <t>Helsinki / Esbjerg reference projects 2024</t>
  </si>
  <si>
    <t>Market data Q1 2026</t>
  </si>
  <si>
    <t>Viessmann commercial data Q1 2026</t>
  </si>
  <si>
    <t>Project references Europe Q1 2026</t>
  </si>
  <si>
    <t>M-series Gasketed Plate &amp; Frame (M15, M20, M30)</t>
  </si>
  <si>
    <t>T-series Gasketed (T20, T35 etc.)  general industrial</t>
  </si>
  <si>
    <t>NT / NTL series Gasketed PHE</t>
  </si>
  <si>
    <t>B-series Brazed Plate (B250, B400 etc.)</t>
  </si>
  <si>
    <t>XB / XGC series Brazed &amp; Gasketed PHE</t>
  </si>
  <si>
    <t>Distance from connection to heating network (m) - only used for heat losses in Data Center perimeter</t>
  </si>
  <si>
    <r>
      <t>Unknown risk (</t>
    </r>
    <r>
      <rPr>
        <b/>
        <sz val="11"/>
        <color theme="1"/>
        <rFont val="Calibri"/>
        <family val="2"/>
        <scheme val="minor"/>
      </rPr>
      <t>%</t>
    </r>
    <r>
      <rPr>
        <sz val="11"/>
        <color theme="1"/>
        <rFont val="Calibri"/>
        <family val="2"/>
        <scheme val="minor"/>
      </rPr>
      <t>)</t>
    </r>
  </si>
  <si>
    <t>x% CAPEX</t>
  </si>
  <si>
    <t>Heat Pump cost</t>
  </si>
  <si>
    <t>own data</t>
  </si>
  <si>
    <t>771 €/kW_th  (equipment + installation)</t>
  </si>
  <si>
    <t>48€/kW (equipment + installation)</t>
  </si>
  <si>
    <t>90 €/kW</t>
  </si>
  <si>
    <t>list menu</t>
  </si>
  <si>
    <t xml:space="preserve">Cost of electricity (EUR/kWh) </t>
  </si>
  <si>
    <t>Electricity Price (€/kWh)</t>
  </si>
  <si>
    <t>Electricity Inflation</t>
  </si>
  <si>
    <t>Heat price indexation</t>
  </si>
  <si>
    <t xml:space="preserve">Electricity Inflation </t>
  </si>
  <si>
    <t>Heat Indexation</t>
  </si>
  <si>
    <t>Electricty inflation over next 20 years (%)</t>
  </si>
  <si>
    <t>Indexation of heating prices over next 20 years (%)</t>
  </si>
  <si>
    <t>G4</t>
  </si>
  <si>
    <r>
      <t xml:space="preserve">Q19. Who pays for </t>
    </r>
    <r>
      <rPr>
        <b/>
        <u/>
        <sz val="11"/>
        <color theme="1"/>
        <rFont val="Calibri"/>
        <family val="2"/>
        <scheme val="minor"/>
      </rPr>
      <t>electricity</t>
    </r>
    <r>
      <rPr>
        <b/>
        <sz val="11"/>
        <color theme="1"/>
        <rFont val="Calibri"/>
        <family val="2"/>
        <scheme val="minor"/>
      </rPr>
      <t xml:space="preserve"> for heat recovery equipment? (Heatpump)</t>
    </r>
  </si>
  <si>
    <t>Q1. Project name &amp; reference date</t>
  </si>
  <si>
    <t>Q2. Is there a confirmed heat off-taker?</t>
  </si>
  <si>
    <t>A4</t>
  </si>
  <si>
    <t>Q3. What are the conditions for heat transfer?</t>
  </si>
  <si>
    <t>“I, data centre operator, am going to operate the heatpump even though I have heard my PUE will be impacted because we decided as a business that this is the best way to more forward” [This means heat pump included in CAPEX and OPEX calculations and the PUE impact tab shows how that will impact PUE.</t>
  </si>
  <si>
    <t>I am (data centre operator) for sure NOT going to buy or operate a heatpump for this heat reuse project. It is completely outside of my scope and the job of the district heat network. If they get a connection on my site, it will be submetered directly to them for payments.” [This means the heat pump is excluded from OPEX and CAPEX calculations and there is no PUE impact.</t>
  </si>
  <si>
    <r>
      <t xml:space="preserve">Q19. What is the </t>
    </r>
    <r>
      <rPr>
        <b/>
        <u/>
        <sz val="11"/>
        <color theme="1"/>
        <rFont val="Calibri"/>
        <family val="2"/>
        <scheme val="minor"/>
      </rPr>
      <t>electricity</t>
    </r>
    <r>
      <rPr>
        <b/>
        <sz val="11"/>
        <color theme="1"/>
        <rFont val="Calibri"/>
        <family val="2"/>
        <scheme val="minor"/>
      </rPr>
      <t xml:space="preserve"> for heat recovery equipment? (pumps)</t>
    </r>
  </si>
  <si>
    <t>→ activates :</t>
  </si>
  <si>
    <t xml:space="preserve">SCNEARIO 2 RESULTS : Calculation of the price of heat at the data center outlet </t>
  </si>
  <si>
    <t xml:space="preserve">SCENARIO 1-1 RESULTS : Calculation of the price of heat at the data center outlet </t>
  </si>
  <si>
    <t>SCNEARIO 1-2 RESULTS : P&amp;L in the case where the price of heat is given by the heat off taker</t>
  </si>
  <si>
    <t xml:space="preserve">→ activates (if yes): Scenario 1-2 Results :  P&amp;L of the projects </t>
  </si>
  <si>
    <t>Scenario 1-1 : Do you need to supply heat at the same temperature as the heat off-taker?</t>
  </si>
  <si>
    <t>Scenario 2 : The heat is delivered at the data center's outlet temperature, regardless of the intended use</t>
  </si>
  <si>
    <t xml:space="preserve">SCENARIO 1-1 &amp; 1-2 </t>
  </si>
  <si>
    <t>SCENARIO 2</t>
  </si>
  <si>
    <t>Simulated Operating Hour/ Month</t>
  </si>
  <si>
    <t>Given Operating Hour/ Month</t>
  </si>
  <si>
    <t xml:space="preserve">if not specified : Scnearion 1-1 Results  - heat price at the data center outlet </t>
  </si>
  <si>
    <t>PUE</t>
  </si>
  <si>
    <t>MWH</t>
  </si>
  <si>
    <t xml:space="preserve"> Total EDC for last 12 months: (MWh)</t>
  </si>
  <si>
    <t>Total EIT for last 12 months: (MWh)</t>
  </si>
  <si>
    <t>What is the Total Facility Energy Consumption for last 12 months? (MWh)</t>
  </si>
  <si>
    <t>What is the IT Equipment Energy Consumtion? (MWh)</t>
  </si>
  <si>
    <t>Q4. Impacts on PUE - Electrical Consumption</t>
  </si>
  <si>
    <t>PUE for last 12 months</t>
  </si>
  <si>
    <t xml:space="preserve">PUE (adjusted) </t>
  </si>
  <si>
    <t>Scenario 1-2 : Do you know the target heat price of the heat off taker? (€/MWh)</t>
  </si>
  <si>
    <t>Q18. Heat Indexation?</t>
  </si>
  <si>
    <t>Heat Price (€/kWh)</t>
  </si>
  <si>
    <r>
      <rPr>
        <b/>
        <sz val="11"/>
        <color theme="1"/>
        <rFont val="Aptos"/>
        <family val="2"/>
      </rPr>
      <t xml:space="preserve">Guidance </t>
    </r>
    <r>
      <rPr>
        <sz val="11"/>
        <color theme="1"/>
        <rFont val="Aptos"/>
        <family val="2"/>
      </rPr>
      <t>- read the guidelines document to understand how this sheet fits in with the feasibilty calculator for heat reuse projects during the early stages</t>
    </r>
  </si>
  <si>
    <t>Scenario 1-2 : Temperature increase at the data center perimeter with a fixed heat price (=&gt; P&amp;L)</t>
  </si>
  <si>
    <t xml:space="preserve">	Scenario 2 :    No temperature increase (=&gt; heat price)</t>
  </si>
  <si>
    <t>Scenario 1-1 : Temperature increase at the perimeter of the data center without a fixed heat price (=&gt; heat price)</t>
  </si>
  <si>
    <t>The data center upgrades waste heat to match the district heating network temperature requirements.
This involves additional energy consumption and integration of heat pump systems.
No predefined heat price is assumed in this scenario.
The objective is to determine the break-even heat selling price at the data center boundary.
This price ensures cost recovery and project viability.
Heat pump electricity consumption is included, leading to an increase in the data center PUE.</t>
  </si>
  <si>
    <t>The data center similarly increases heat temperature to meet network specifications.
In this case, the heat selling price is imposed by the district heating operator.
The focus is on evaluating the project’s financial performance.
A full profit and loss (P&amp;L) analysis is conducted.
This determines profitability under fixed market conditions.
Heat pump electricity consumption is included, leading to an increase in the data center PUE.</t>
  </si>
  <si>
    <t>The data center exports waste heat without any temperature upgrade.
This limits compatibility with district heating network requirements.
No fixed heat price is assumed in this configuration.
The objective is to determine the achievable heat selling price.
This reflects the lower-grade heat and its market value.
Reduced chiller electricity consumption improves efficiency, leading to a decrease in the data center PUE.</t>
  </si>
  <si>
    <r>
      <rPr>
        <b/>
        <sz val="16"/>
        <color theme="1"/>
        <rFont val="Calibri"/>
        <family val="2"/>
        <scheme val="minor"/>
      </rPr>
      <t>PUE Impacts</t>
    </r>
    <r>
      <rPr>
        <sz val="16"/>
        <color theme="1"/>
        <rFont val="Calibri"/>
        <family val="2"/>
        <scheme val="minor"/>
      </rPr>
      <t xml:space="preserve"> - as defined by ISO 30134-2</t>
    </r>
  </si>
  <si>
    <t>Total EDC for last 12 months: (MWh)</t>
  </si>
  <si>
    <t>SCENARIO 1-1 &amp; 1-2</t>
  </si>
  <si>
    <t>F1</t>
  </si>
  <si>
    <t>SECTION E — CAPEX RESPONSIBILITY &amp; COST BLOCKS</t>
  </si>
  <si>
    <t>E1</t>
  </si>
  <si>
    <t>E2</t>
  </si>
  <si>
    <t>E3</t>
  </si>
  <si>
    <t>SECTION F — ELECTRICITY COST (ONLY IF TRIGGERED)</t>
  </si>
  <si>
    <t>PUE value before heat reuse</t>
  </si>
  <si>
    <t>PUE value after heat reuse, integrating electricity consumption by heat pumps operated by data center operator</t>
  </si>
  <si>
    <t>PUE value after heat reuse, without electricity consumption by heat pumps operated by heat district operator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</si>
</sst>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Red]\-&quot;€&quot;#,##0"/>
    <numFmt numFmtId="43" formatCode="_-* #,##0.00_-;\-* #,##0.00_-;_-* &quot;-&quot;??_-;_-@_-"/>
    <numFmt numFmtId="164" formatCode="0.000"/>
    <numFmt numFmtId="165" formatCode="#,##0.000"/>
    <numFmt numFmtId="166" formatCode="#,##0&quot; kW&quot;"/>
    <numFmt numFmtId="167" formatCode="#,##0&quot; kWh&quot;"/>
    <numFmt numFmtId="168" formatCode="#,##0.00&quot; kW&quot;"/>
    <numFmt numFmtId="169" formatCode="_-* #,##0_-;\-* #,##0_-;_-* &quot;-&quot;??_-;_-@_-"/>
    <numFmt numFmtId="170" formatCode="0.0"/>
    <numFmt numFmtId="171" formatCode="\+0.000;\-0.000"/>
  </numFmts>
  <fonts count="43" x14ac:knownFonts="1">
    <font>
      <sz val="11"/>
      <color theme="1"/>
      <name val="Calibri"/>
      <family val="2"/>
      <scheme val="minor"/>
    </font>
    <font>
      <b/>
      <sz val="11"/>
      <name val="Calibri"/>
      <family val="2"/>
    </font>
    <font>
      <i/>
      <sz val="11"/>
      <color theme="1"/>
      <name val="Calibri"/>
      <family val="2"/>
      <scheme val="minor"/>
    </font>
    <font>
      <b/>
      <sz val="12"/>
      <name val="Calibri"/>
      <family val="2"/>
    </font>
    <font>
      <b/>
      <sz val="14"/>
      <name val="Calibri"/>
      <family val="2"/>
    </font>
    <font>
      <b/>
      <sz val="11"/>
      <color theme="1"/>
      <name val="Calibri"/>
      <family val="2"/>
      <scheme val="minor"/>
    </font>
    <font>
      <sz val="10"/>
      <color rgb="FF212529"/>
      <name val="Segoe UI"/>
      <family val="2"/>
    </font>
    <font>
      <b/>
      <sz val="11"/>
      <color theme="1"/>
      <name val="Calibri"/>
      <family val="2"/>
      <scheme val="minor"/>
    </font>
    <font>
      <b/>
      <sz val="13.5"/>
      <color theme="1"/>
      <name val="Calibri"/>
      <family val="2"/>
      <scheme val="minor"/>
    </font>
    <font>
      <sz val="11"/>
      <color rgb="FF000000"/>
      <name val="Calibri"/>
      <family val="2"/>
      <scheme val="minor"/>
    </font>
    <font>
      <sz val="11"/>
      <color rgb="FF000000"/>
      <name val="Aptos Narrow"/>
      <family val="2"/>
    </font>
    <font>
      <sz val="11"/>
      <color rgb="FF000000"/>
      <name val="Calibri"/>
      <family val="2"/>
    </font>
    <font>
      <b/>
      <sz val="11"/>
      <color rgb="FF000000"/>
      <name val="Calibri"/>
      <family val="2"/>
    </font>
    <font>
      <b/>
      <sz val="16"/>
      <color rgb="FF000000"/>
      <name val="Calibri"/>
      <family val="2"/>
      <scheme val="minor"/>
    </font>
    <font>
      <sz val="11"/>
      <color theme="1"/>
      <name val="Calibri"/>
      <family val="2"/>
      <scheme val="minor"/>
    </font>
    <font>
      <sz val="11"/>
      <color theme="1"/>
      <name val="Aptos"/>
      <family val="2"/>
    </font>
    <font>
      <b/>
      <sz val="11"/>
      <color theme="1"/>
      <name val="Aptos"/>
      <family val="2"/>
    </font>
    <font>
      <b/>
      <sz val="11"/>
      <name val="Aptos"/>
      <family val="2"/>
    </font>
    <font>
      <b/>
      <u/>
      <sz val="11"/>
      <color theme="1"/>
      <name val="Calibri"/>
      <family val="2"/>
      <scheme val="minor"/>
    </font>
    <font>
      <sz val="12"/>
      <color theme="1"/>
      <name val="Aptos"/>
      <family val="2"/>
    </font>
    <font>
      <i/>
      <sz val="9"/>
      <color rgb="FFFFFFFF"/>
      <name val="Arial"/>
      <family val="2"/>
    </font>
    <font>
      <b/>
      <sz val="10"/>
      <color rgb="FFFFFFFF"/>
      <name val="Arial"/>
      <family val="2"/>
    </font>
    <font>
      <sz val="9"/>
      <color rgb="FF2C3E50"/>
      <name val="Arial"/>
      <family val="2"/>
    </font>
    <font>
      <i/>
      <sz val="9"/>
      <color rgb="FF2C3E50"/>
      <name val="Arial"/>
      <family val="2"/>
    </font>
    <font>
      <b/>
      <sz val="9"/>
      <color rgb="FFFFFFFF"/>
      <name val="Arial"/>
      <family val="2"/>
    </font>
    <font>
      <b/>
      <sz val="9"/>
      <color rgb="FF2C3E50"/>
      <name val="Arial"/>
      <family val="2"/>
    </font>
    <font>
      <b/>
      <sz val="9"/>
      <color rgb="FFE67E3A"/>
      <name val="Arial"/>
      <family val="2"/>
    </font>
    <font>
      <b/>
      <sz val="9"/>
      <color rgb="FF27AE60"/>
      <name val="Arial"/>
      <family val="2"/>
    </font>
    <font>
      <i/>
      <sz val="8"/>
      <color rgb="FF2C3E50"/>
      <name val="Arial"/>
      <family val="2"/>
    </font>
    <font>
      <b/>
      <sz val="12"/>
      <color rgb="FFFFFFFF"/>
      <name val="Aptos Narrow"/>
      <family val="2"/>
    </font>
    <font>
      <sz val="12"/>
      <color theme="1"/>
      <name val="Aptos Narrow"/>
      <family val="2"/>
    </font>
    <font>
      <b/>
      <sz val="12"/>
      <color rgb="FFFFFFFF"/>
      <name val="Aptos"/>
      <family val="2"/>
    </font>
    <font>
      <b/>
      <sz val="16"/>
      <color rgb="FFFFFFFF"/>
      <name val="Aptos"/>
      <family val="2"/>
    </font>
    <font>
      <sz val="16"/>
      <color theme="1"/>
      <name val="Aptos"/>
      <family val="2"/>
    </font>
    <font>
      <b/>
      <sz val="10"/>
      <color rgb="FFFFFFFF"/>
      <name val="Aptos Narrow"/>
      <family val="2"/>
    </font>
    <font>
      <b/>
      <sz val="10"/>
      <color theme="1"/>
      <name val="Aptos Narrow"/>
      <family val="2"/>
    </font>
    <font>
      <b/>
      <sz val="12"/>
      <color rgb="FFFFFF00"/>
      <name val="Aptos"/>
      <family val="2"/>
    </font>
    <font>
      <i/>
      <sz val="11"/>
      <color theme="1"/>
      <name val="Aptos"/>
      <family val="2"/>
    </font>
    <font>
      <b/>
      <i/>
      <sz val="14"/>
      <color theme="1"/>
      <name val="Calibri"/>
      <family val="2"/>
      <scheme val="minor"/>
    </font>
    <font>
      <sz val="9"/>
      <color rgb="FF000000"/>
      <name val="Segoe UI"/>
      <family val="2"/>
    </font>
    <font>
      <sz val="11"/>
      <color rgb="FF000000"/>
      <name val="Calibri"/>
      <family val="2"/>
    </font>
    <font>
      <sz val="16"/>
      <color theme="1"/>
      <name val="Calibri"/>
      <family val="2"/>
      <scheme val="minor"/>
    </font>
    <font>
      <b/>
      <sz val="16"/>
      <color theme="1"/>
      <name val="Calibri"/>
      <family val="2"/>
      <scheme val="minor"/>
    </font>
  </fonts>
  <fills count="2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rgb="FF0A2342"/>
        <bgColor rgb="FF212529"/>
      </patternFill>
    </fill>
    <fill>
      <patternFill patternType="solid">
        <fgColor rgb="FF1B7F8E"/>
        <bgColor rgb="FF2471A3"/>
      </patternFill>
    </fill>
    <fill>
      <patternFill patternType="solid">
        <fgColor rgb="FFF7FAFA"/>
        <bgColor rgb="FFFFFFFF"/>
      </patternFill>
    </fill>
    <fill>
      <patternFill patternType="solid">
        <fgColor rgb="FFFEF3DC"/>
        <bgColor rgb="FFFFF3E0"/>
      </patternFill>
    </fill>
    <fill>
      <patternFill patternType="solid">
        <fgColor rgb="FFD6EEEC"/>
        <bgColor rgb="FFD5F5E3"/>
      </patternFill>
    </fill>
    <fill>
      <patternFill patternType="solid">
        <fgColor rgb="FFFFFDE7"/>
        <bgColor rgb="FFF7FAFA"/>
      </patternFill>
    </fill>
    <fill>
      <patternFill patternType="solid">
        <fgColor theme="0"/>
        <bgColor rgb="FFF7FAFA"/>
      </patternFill>
    </fill>
    <fill>
      <patternFill patternType="solid">
        <fgColor rgb="FFFFF3E0"/>
        <bgColor rgb="FFFEF3DC"/>
      </patternFill>
    </fill>
    <fill>
      <patternFill patternType="solid">
        <fgColor rgb="FF2471A3"/>
        <bgColor rgb="FF1B7F8E"/>
      </patternFill>
    </fill>
    <fill>
      <patternFill patternType="solid">
        <fgColor rgb="FFD6E4F0"/>
        <bgColor rgb="FFD6EEEC"/>
      </patternFill>
    </fill>
    <fill>
      <patternFill patternType="solid">
        <fgColor rgb="FF2C3E50"/>
        <bgColor rgb="FF212529"/>
      </patternFill>
    </fill>
    <fill>
      <patternFill patternType="solid">
        <fgColor rgb="FFFDEBD0"/>
        <bgColor rgb="FFFEF3DC"/>
      </patternFill>
    </fill>
    <fill>
      <patternFill patternType="solid">
        <fgColor rgb="FFD5F5E3"/>
        <bgColor rgb="FFD6EEEC"/>
      </patternFill>
    </fill>
    <fill>
      <patternFill patternType="solid">
        <fgColor rgb="FFFFFFFF"/>
        <bgColor indexed="64"/>
      </patternFill>
    </fill>
  </fills>
  <borders count="10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000000"/>
      </left>
      <right style="thin">
        <color rgb="FF000000"/>
      </right>
      <top style="medium">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right style="medium">
        <color indexed="64"/>
      </right>
      <top style="thin">
        <color indexed="64"/>
      </top>
      <bottom style="medium">
        <color indexed="64"/>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thin">
        <color indexed="64"/>
      </left>
      <right style="medium">
        <color indexed="64"/>
      </right>
      <top style="thin">
        <color indexed="64"/>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style="medium">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style="medium">
        <color indexed="64"/>
      </right>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thin">
        <color indexed="64"/>
      </left>
      <right style="thin">
        <color indexed="64"/>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top style="medium">
        <color indexed="64"/>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diagonal/>
    </border>
    <border>
      <left style="medium">
        <color indexed="64"/>
      </left>
      <right/>
      <top style="thin">
        <color rgb="FF000000"/>
      </top>
      <bottom style="medium">
        <color indexed="64"/>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FFFFFF"/>
      </left>
      <right style="thin">
        <color rgb="FFFFFFFF"/>
      </right>
      <top/>
      <bottom style="medium">
        <color rgb="FF0A2342"/>
      </bottom>
      <diagonal/>
    </border>
    <border>
      <left style="thin">
        <color rgb="FFBDC3C7"/>
      </left>
      <right style="thin">
        <color rgb="FFBDC3C7"/>
      </right>
      <top style="thin">
        <color rgb="FFBDC3C7"/>
      </top>
      <bottom style="thin">
        <color rgb="FFBDC3C7"/>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4" fillId="0" borderId="0" applyFont="0" applyFill="0" applyBorder="0" applyAlignment="0" applyProtection="0"/>
    <xf numFmtId="9" fontId="14" fillId="0" borderId="0" applyFont="0" applyFill="0" applyBorder="0" applyAlignment="0" applyProtection="0"/>
  </cellStyleXfs>
  <cellXfs count="297">
    <xf numFmtId="0" fontId="0" fillId="0" borderId="0" xfId="0"/>
    <xf numFmtId="0" fontId="0" fillId="3" borderId="0" xfId="0" applyFill="1"/>
    <xf numFmtId="0" fontId="4" fillId="3" borderId="13" xfId="0" applyFont="1" applyFill="1" applyBorder="1"/>
    <xf numFmtId="0" fontId="0" fillId="3" borderId="8" xfId="0" applyFill="1" applyBorder="1"/>
    <xf numFmtId="3" fontId="0" fillId="3" borderId="9" xfId="0" applyNumberFormat="1" applyFill="1" applyBorder="1"/>
    <xf numFmtId="0" fontId="5" fillId="3" borderId="18" xfId="0" applyFont="1" applyFill="1" applyBorder="1"/>
    <xf numFmtId="0" fontId="5" fillId="3" borderId="19" xfId="0" applyFont="1" applyFill="1" applyBorder="1"/>
    <xf numFmtId="165" fontId="0" fillId="3" borderId="9" xfId="0" applyNumberFormat="1" applyFill="1" applyBorder="1"/>
    <xf numFmtId="0" fontId="0" fillId="3" borderId="10" xfId="0" applyFill="1" applyBorder="1"/>
    <xf numFmtId="4" fontId="0" fillId="3" borderId="0" xfId="0" applyNumberFormat="1" applyFill="1"/>
    <xf numFmtId="0" fontId="0" fillId="3" borderId="16" xfId="0" applyFill="1" applyBorder="1"/>
    <xf numFmtId="4" fontId="0" fillId="3" borderId="9" xfId="0" applyNumberFormat="1" applyFill="1" applyBorder="1"/>
    <xf numFmtId="4" fontId="0" fillId="3" borderId="12" xfId="0" applyNumberFormat="1" applyFill="1" applyBorder="1"/>
    <xf numFmtId="3" fontId="0" fillId="3" borderId="17" xfId="0" applyNumberFormat="1" applyFill="1" applyBorder="1"/>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0" fillId="3" borderId="0" xfId="0" applyFill="1" applyAlignment="1">
      <alignment wrapText="1"/>
    </xf>
    <xf numFmtId="0" fontId="6" fillId="3" borderId="0" xfId="0" applyFont="1" applyFill="1" applyAlignment="1">
      <alignment horizontal="left" vertical="center" wrapText="1" indent="1"/>
    </xf>
    <xf numFmtId="0" fontId="5" fillId="3" borderId="0" xfId="0" applyFont="1" applyFill="1"/>
    <xf numFmtId="3" fontId="0" fillId="3" borderId="0" xfId="0" applyNumberFormat="1" applyFill="1"/>
    <xf numFmtId="0" fontId="7" fillId="3" borderId="0" xfId="0" applyFont="1" applyFill="1"/>
    <xf numFmtId="0" fontId="0" fillId="3" borderId="0" xfId="0" applyFill="1" applyAlignment="1">
      <alignment horizontal="left" vertical="center" indent="1"/>
    </xf>
    <xf numFmtId="0" fontId="0" fillId="3" borderId="0" xfId="0" applyFill="1" applyAlignment="1">
      <alignment horizontal="center"/>
    </xf>
    <xf numFmtId="0" fontId="0" fillId="3" borderId="20" xfId="0" applyFill="1" applyBorder="1"/>
    <xf numFmtId="0" fontId="7" fillId="3" borderId="20" xfId="0" applyFont="1" applyFill="1" applyBorder="1"/>
    <xf numFmtId="0" fontId="7" fillId="3" borderId="0" xfId="0" applyFont="1" applyFill="1" applyAlignment="1">
      <alignment horizontal="left" vertical="center" indent="1"/>
    </xf>
    <xf numFmtId="0" fontId="7" fillId="3" borderId="0" xfId="0" applyFont="1" applyFill="1" applyAlignment="1">
      <alignment wrapText="1"/>
    </xf>
    <xf numFmtId="0" fontId="8" fillId="5" borderId="20" xfId="0" applyFont="1" applyFill="1" applyBorder="1" applyAlignment="1">
      <alignment vertical="center"/>
    </xf>
    <xf numFmtId="0" fontId="0" fillId="5" borderId="0" xfId="0" applyFill="1"/>
    <xf numFmtId="0" fontId="0" fillId="5" borderId="0" xfId="0" applyFill="1" applyAlignment="1">
      <alignment horizontal="center"/>
    </xf>
    <xf numFmtId="0" fontId="9" fillId="3" borderId="0" xfId="0" applyFont="1" applyFill="1" applyAlignment="1">
      <alignment horizontal="left" vertical="center" indent="1"/>
    </xf>
    <xf numFmtId="0" fontId="0" fillId="3" borderId="21" xfId="0" applyFill="1" applyBorder="1" applyAlignment="1">
      <alignment horizontal="center"/>
    </xf>
    <xf numFmtId="0" fontId="0" fillId="3" borderId="51" xfId="0" applyFill="1" applyBorder="1"/>
    <xf numFmtId="0" fontId="10" fillId="3" borderId="0" xfId="0" applyFont="1" applyFill="1"/>
    <xf numFmtId="3" fontId="0" fillId="3" borderId="0" xfId="0" applyNumberFormat="1" applyFill="1" applyAlignment="1">
      <alignment horizontal="right"/>
    </xf>
    <xf numFmtId="0" fontId="1" fillId="3" borderId="0" xfId="0" applyFont="1" applyFill="1"/>
    <xf numFmtId="3" fontId="5" fillId="3" borderId="0" xfId="0" applyNumberFormat="1" applyFont="1" applyFill="1"/>
    <xf numFmtId="0" fontId="0" fillId="3" borderId="56" xfId="0" applyFill="1" applyBorder="1"/>
    <xf numFmtId="3" fontId="0" fillId="3" borderId="57" xfId="0" applyNumberFormat="1" applyFill="1" applyBorder="1"/>
    <xf numFmtId="0" fontId="0" fillId="3" borderId="58" xfId="0" applyFill="1" applyBorder="1"/>
    <xf numFmtId="0" fontId="0" fillId="3" borderId="59" xfId="0" applyFill="1" applyBorder="1"/>
    <xf numFmtId="0" fontId="0" fillId="3" borderId="60" xfId="0" applyFill="1" applyBorder="1"/>
    <xf numFmtId="3" fontId="0" fillId="3" borderId="61" xfId="0" applyNumberFormat="1" applyFill="1" applyBorder="1"/>
    <xf numFmtId="0" fontId="0" fillId="3" borderId="62" xfId="0" applyFill="1" applyBorder="1"/>
    <xf numFmtId="0" fontId="0" fillId="3" borderId="20" xfId="0" applyFill="1" applyBorder="1" applyAlignment="1">
      <alignment wrapText="1"/>
    </xf>
    <xf numFmtId="3" fontId="0" fillId="3" borderId="63" xfId="0" applyNumberFormat="1" applyFill="1" applyBorder="1"/>
    <xf numFmtId="0" fontId="0" fillId="3" borderId="64" xfId="0" applyFill="1" applyBorder="1"/>
    <xf numFmtId="0" fontId="0" fillId="3" borderId="63" xfId="0" applyFill="1" applyBorder="1"/>
    <xf numFmtId="0" fontId="5" fillId="3" borderId="65" xfId="0" applyFont="1" applyFill="1" applyBorder="1"/>
    <xf numFmtId="3" fontId="5" fillId="3" borderId="66" xfId="0" applyNumberFormat="1" applyFont="1" applyFill="1" applyBorder="1"/>
    <xf numFmtId="0" fontId="12" fillId="0" borderId="67" xfId="0" applyFont="1" applyBorder="1"/>
    <xf numFmtId="0" fontId="5" fillId="3" borderId="68" xfId="0" applyFont="1" applyFill="1" applyBorder="1"/>
    <xf numFmtId="0" fontId="5" fillId="3" borderId="69" xfId="0" applyFont="1" applyFill="1" applyBorder="1" applyAlignment="1">
      <alignment wrapText="1"/>
    </xf>
    <xf numFmtId="0" fontId="1" fillId="3" borderId="70" xfId="0" applyFont="1" applyFill="1" applyBorder="1"/>
    <xf numFmtId="0" fontId="5" fillId="3" borderId="72" xfId="0" applyFont="1" applyFill="1" applyBorder="1"/>
    <xf numFmtId="0" fontId="5" fillId="3" borderId="78" xfId="0" applyFont="1" applyFill="1" applyBorder="1"/>
    <xf numFmtId="0" fontId="5" fillId="3" borderId="79" xfId="0" applyFont="1" applyFill="1" applyBorder="1"/>
    <xf numFmtId="0" fontId="5" fillId="3" borderId="79" xfId="0" applyFont="1" applyFill="1" applyBorder="1" applyAlignment="1">
      <alignment horizontal="left"/>
    </xf>
    <xf numFmtId="0" fontId="5" fillId="3" borderId="80" xfId="0" applyFont="1" applyFill="1" applyBorder="1"/>
    <xf numFmtId="0" fontId="5" fillId="3" borderId="81" xfId="0" applyFont="1" applyFill="1" applyBorder="1"/>
    <xf numFmtId="3" fontId="0" fillId="6" borderId="54" xfId="0" applyNumberFormat="1" applyFill="1" applyBorder="1"/>
    <xf numFmtId="0" fontId="0" fillId="6" borderId="54" xfId="0" applyFill="1" applyBorder="1"/>
    <xf numFmtId="3" fontId="0" fillId="6" borderId="55" xfId="0" applyNumberFormat="1" applyFill="1" applyBorder="1"/>
    <xf numFmtId="0" fontId="5" fillId="3" borderId="83" xfId="0" applyFont="1" applyFill="1" applyBorder="1"/>
    <xf numFmtId="3" fontId="1" fillId="3" borderId="7" xfId="0" applyNumberFormat="1" applyFont="1" applyFill="1" applyBorder="1" applyAlignment="1">
      <alignment horizontal="left" vertical="center" wrapText="1"/>
    </xf>
    <xf numFmtId="3" fontId="1" fillId="3" borderId="12" xfId="0" applyNumberFormat="1" applyFont="1" applyFill="1" applyBorder="1" applyAlignment="1">
      <alignment horizontal="left" vertical="center" wrapText="1"/>
    </xf>
    <xf numFmtId="167" fontId="5" fillId="3" borderId="67" xfId="0" applyNumberFormat="1" applyFont="1" applyFill="1" applyBorder="1" applyAlignment="1">
      <alignment horizontal="center"/>
    </xf>
    <xf numFmtId="0" fontId="5" fillId="3" borderId="70" xfId="0" applyFont="1" applyFill="1" applyBorder="1"/>
    <xf numFmtId="168" fontId="5" fillId="3" borderId="72" xfId="0" applyNumberFormat="1" applyFont="1" applyFill="1" applyBorder="1" applyAlignment="1">
      <alignment horizontal="center"/>
    </xf>
    <xf numFmtId="0" fontId="0" fillId="3" borderId="83" xfId="0" applyFill="1" applyBorder="1" applyAlignment="1">
      <alignment horizontal="center"/>
    </xf>
    <xf numFmtId="0" fontId="0" fillId="3" borderId="18" xfId="0" applyFill="1" applyBorder="1" applyAlignment="1">
      <alignment horizontal="center"/>
    </xf>
    <xf numFmtId="0" fontId="0" fillId="3" borderId="18" xfId="0" applyFill="1" applyBorder="1"/>
    <xf numFmtId="0" fontId="0" fillId="3" borderId="19" xfId="0" applyFill="1" applyBorder="1" applyAlignment="1">
      <alignment horizontal="center"/>
    </xf>
    <xf numFmtId="0" fontId="0" fillId="3" borderId="41" xfId="0" applyFill="1" applyBorder="1" applyAlignment="1">
      <alignment horizontal="center"/>
    </xf>
    <xf numFmtId="0" fontId="0" fillId="3" borderId="24" xfId="0" applyFill="1" applyBorder="1" applyAlignment="1">
      <alignment horizontal="center"/>
    </xf>
    <xf numFmtId="166" fontId="0" fillId="3" borderId="24" xfId="0" applyNumberFormat="1" applyFill="1" applyBorder="1" applyAlignment="1">
      <alignment horizontal="center"/>
    </xf>
    <xf numFmtId="167" fontId="0" fillId="3" borderId="42" xfId="0" applyNumberFormat="1" applyFill="1" applyBorder="1" applyAlignment="1">
      <alignment horizontal="center"/>
    </xf>
    <xf numFmtId="0" fontId="0" fillId="3" borderId="43" xfId="0" applyFill="1" applyBorder="1" applyAlignment="1">
      <alignment horizontal="center"/>
    </xf>
    <xf numFmtId="166" fontId="0" fillId="3" borderId="21" xfId="0" applyNumberFormat="1" applyFill="1" applyBorder="1" applyAlignment="1">
      <alignment horizontal="center"/>
    </xf>
    <xf numFmtId="167" fontId="0" fillId="3" borderId="44" xfId="0" applyNumberFormat="1" applyFill="1" applyBorder="1" applyAlignment="1">
      <alignment horizontal="center"/>
    </xf>
    <xf numFmtId="0" fontId="0" fillId="3" borderId="45" xfId="0" applyFill="1" applyBorder="1" applyAlignment="1">
      <alignment horizontal="center"/>
    </xf>
    <xf numFmtId="0" fontId="0" fillId="3" borderId="39" xfId="0" applyFill="1" applyBorder="1" applyAlignment="1">
      <alignment horizontal="center"/>
    </xf>
    <xf numFmtId="166" fontId="0" fillId="3" borderId="39" xfId="0" applyNumberFormat="1" applyFill="1" applyBorder="1" applyAlignment="1">
      <alignment horizontal="center"/>
    </xf>
    <xf numFmtId="166" fontId="0" fillId="3" borderId="86" xfId="0" applyNumberFormat="1" applyFill="1" applyBorder="1" applyAlignment="1">
      <alignment horizontal="center"/>
    </xf>
    <xf numFmtId="167" fontId="0" fillId="3" borderId="87" xfId="0" applyNumberFormat="1" applyFill="1" applyBorder="1" applyAlignment="1">
      <alignment horizontal="center"/>
    </xf>
    <xf numFmtId="3" fontId="0" fillId="3" borderId="9" xfId="0" applyNumberFormat="1" applyFill="1" applyBorder="1" applyAlignment="1">
      <alignment wrapText="1"/>
    </xf>
    <xf numFmtId="0" fontId="15" fillId="3" borderId="0" xfId="0" applyFont="1" applyFill="1"/>
    <xf numFmtId="0" fontId="15" fillId="3" borderId="5" xfId="0" applyFont="1" applyFill="1" applyBorder="1"/>
    <xf numFmtId="0" fontId="15" fillId="3" borderId="6" xfId="0" applyFont="1" applyFill="1" applyBorder="1" applyAlignment="1">
      <alignment horizontal="right"/>
    </xf>
    <xf numFmtId="0" fontId="15" fillId="3" borderId="7" xfId="0" applyFont="1" applyFill="1" applyBorder="1"/>
    <xf numFmtId="0" fontId="15" fillId="3" borderId="10" xfId="0" applyFont="1" applyFill="1" applyBorder="1"/>
    <xf numFmtId="14" fontId="15" fillId="3" borderId="11" xfId="0" applyNumberFormat="1" applyFont="1" applyFill="1" applyBorder="1" applyAlignment="1">
      <alignment horizontal="right"/>
    </xf>
    <xf numFmtId="0" fontId="15" fillId="3" borderId="12" xfId="0" applyFont="1" applyFill="1" applyBorder="1"/>
    <xf numFmtId="14" fontId="15" fillId="3" borderId="0" xfId="0" applyNumberFormat="1" applyFont="1" applyFill="1" applyAlignment="1">
      <alignment horizontal="right"/>
    </xf>
    <xf numFmtId="0" fontId="16" fillId="3" borderId="0" xfId="0" applyFont="1" applyFill="1"/>
    <xf numFmtId="0" fontId="15" fillId="3" borderId="41" xfId="0" applyFont="1" applyFill="1" applyBorder="1"/>
    <xf numFmtId="3" fontId="15" fillId="2" borderId="24" xfId="0" applyNumberFormat="1" applyFont="1" applyFill="1" applyBorder="1"/>
    <xf numFmtId="0" fontId="15" fillId="3" borderId="42" xfId="0" applyFont="1" applyFill="1" applyBorder="1"/>
    <xf numFmtId="0" fontId="15" fillId="3" borderId="22" xfId="0" applyFont="1" applyFill="1" applyBorder="1"/>
    <xf numFmtId="0" fontId="15" fillId="3" borderId="84" xfId="0" applyFont="1" applyFill="1" applyBorder="1"/>
    <xf numFmtId="3" fontId="15" fillId="2" borderId="82" xfId="0" applyNumberFormat="1" applyFont="1" applyFill="1" applyBorder="1"/>
    <xf numFmtId="0" fontId="15" fillId="3" borderId="85" xfId="0" applyFont="1" applyFill="1" applyBorder="1"/>
    <xf numFmtId="0" fontId="15" fillId="3" borderId="40" xfId="0" applyFont="1" applyFill="1" applyBorder="1"/>
    <xf numFmtId="0" fontId="15" fillId="3" borderId="17" xfId="0" applyFont="1" applyFill="1" applyBorder="1"/>
    <xf numFmtId="0" fontId="15" fillId="3" borderId="43" xfId="0" applyFont="1" applyFill="1" applyBorder="1"/>
    <xf numFmtId="3" fontId="15" fillId="2" borderId="21" xfId="0" applyNumberFormat="1" applyFont="1" applyFill="1" applyBorder="1"/>
    <xf numFmtId="0" fontId="15" fillId="3" borderId="44" xfId="0" applyFont="1" applyFill="1" applyBorder="1"/>
    <xf numFmtId="0" fontId="15" fillId="2" borderId="21" xfId="0" applyFont="1" applyFill="1" applyBorder="1"/>
    <xf numFmtId="0" fontId="15" fillId="3" borderId="23" xfId="0" applyFont="1" applyFill="1" applyBorder="1"/>
    <xf numFmtId="0" fontId="15" fillId="3" borderId="9" xfId="0" applyFont="1" applyFill="1" applyBorder="1"/>
    <xf numFmtId="0" fontId="15" fillId="3" borderId="43" xfId="0" applyFont="1" applyFill="1" applyBorder="1" applyAlignment="1">
      <alignment wrapText="1"/>
    </xf>
    <xf numFmtId="0" fontId="15" fillId="3" borderId="45" xfId="0" applyFont="1" applyFill="1" applyBorder="1"/>
    <xf numFmtId="0" fontId="15" fillId="2" borderId="39" xfId="0" applyFont="1" applyFill="1" applyBorder="1"/>
    <xf numFmtId="0" fontId="15" fillId="3" borderId="46" xfId="0" applyFont="1" applyFill="1" applyBorder="1"/>
    <xf numFmtId="0" fontId="15" fillId="3" borderId="30" xfId="0" applyFont="1" applyFill="1" applyBorder="1"/>
    <xf numFmtId="0" fontId="15" fillId="3" borderId="31" xfId="0" applyFont="1" applyFill="1" applyBorder="1"/>
    <xf numFmtId="3" fontId="15" fillId="2" borderId="32" xfId="0" applyNumberFormat="1" applyFont="1" applyFill="1" applyBorder="1"/>
    <xf numFmtId="0" fontId="15" fillId="3" borderId="33" xfId="0" applyFont="1" applyFill="1" applyBorder="1"/>
    <xf numFmtId="0" fontId="15" fillId="3" borderId="34" xfId="0" applyFont="1" applyFill="1" applyBorder="1" applyAlignment="1">
      <alignment wrapText="1"/>
    </xf>
    <xf numFmtId="0" fontId="15" fillId="3" borderId="25" xfId="0" applyFont="1" applyFill="1" applyBorder="1"/>
    <xf numFmtId="3" fontId="15" fillId="2" borderId="4" xfId="0" applyNumberFormat="1" applyFont="1" applyFill="1" applyBorder="1"/>
    <xf numFmtId="0" fontId="15" fillId="3" borderId="26" xfId="0" applyFont="1" applyFill="1" applyBorder="1"/>
    <xf numFmtId="0" fontId="15" fillId="3" borderId="26" xfId="0" applyFont="1" applyFill="1" applyBorder="1" applyAlignment="1">
      <alignment wrapText="1"/>
    </xf>
    <xf numFmtId="0" fontId="15" fillId="3" borderId="27" xfId="0" applyFont="1" applyFill="1" applyBorder="1"/>
    <xf numFmtId="3" fontId="15" fillId="2" borderId="28" xfId="0" applyNumberFormat="1" applyFont="1" applyFill="1" applyBorder="1"/>
    <xf numFmtId="0" fontId="15" fillId="3" borderId="35" xfId="0" applyFont="1" applyFill="1" applyBorder="1"/>
    <xf numFmtId="0" fontId="15" fillId="3" borderId="29" xfId="0" applyFont="1" applyFill="1" applyBorder="1"/>
    <xf numFmtId="3" fontId="15" fillId="3" borderId="24" xfId="0" applyNumberFormat="1" applyFont="1" applyFill="1" applyBorder="1"/>
    <xf numFmtId="0" fontId="15" fillId="3" borderId="50" xfId="0" applyFont="1" applyFill="1" applyBorder="1"/>
    <xf numFmtId="0" fontId="15" fillId="3" borderId="53" xfId="0" applyFont="1" applyFill="1" applyBorder="1"/>
    <xf numFmtId="0" fontId="15" fillId="3" borderId="47" xfId="0" applyFont="1" applyFill="1" applyBorder="1" applyAlignment="1">
      <alignment wrapText="1"/>
    </xf>
    <xf numFmtId="3" fontId="15" fillId="3" borderId="21" xfId="0" applyNumberFormat="1" applyFont="1" applyFill="1" applyBorder="1"/>
    <xf numFmtId="0" fontId="15" fillId="3" borderId="51" xfId="0" applyFont="1" applyFill="1" applyBorder="1"/>
    <xf numFmtId="0" fontId="15" fillId="3" borderId="54" xfId="0" applyFont="1" applyFill="1" applyBorder="1"/>
    <xf numFmtId="0" fontId="15" fillId="3" borderId="48" xfId="0" applyFont="1" applyFill="1" applyBorder="1"/>
    <xf numFmtId="0" fontId="15" fillId="3" borderId="48" xfId="0" applyFont="1" applyFill="1" applyBorder="1" applyAlignment="1">
      <alignment wrapText="1"/>
    </xf>
    <xf numFmtId="3" fontId="15" fillId="3" borderId="39" xfId="0" applyNumberFormat="1" applyFont="1" applyFill="1" applyBorder="1"/>
    <xf numFmtId="0" fontId="15" fillId="3" borderId="52" xfId="0" applyFont="1" applyFill="1" applyBorder="1"/>
    <xf numFmtId="0" fontId="15" fillId="3" borderId="55" xfId="0" applyFont="1" applyFill="1" applyBorder="1"/>
    <xf numFmtId="0" fontId="15" fillId="3" borderId="49" xfId="0" applyFont="1" applyFill="1" applyBorder="1"/>
    <xf numFmtId="3" fontId="15" fillId="3" borderId="0" xfId="0" applyNumberFormat="1" applyFont="1" applyFill="1"/>
    <xf numFmtId="0" fontId="15" fillId="2" borderId="32" xfId="0" applyFont="1" applyFill="1" applyBorder="1"/>
    <xf numFmtId="0" fontId="15" fillId="3" borderId="34" xfId="0" applyFont="1" applyFill="1" applyBorder="1"/>
    <xf numFmtId="164" fontId="15" fillId="2" borderId="28" xfId="0" applyNumberFormat="1" applyFont="1" applyFill="1" applyBorder="1"/>
    <xf numFmtId="0" fontId="15" fillId="3" borderId="36" xfId="0" applyFont="1" applyFill="1" applyBorder="1"/>
    <xf numFmtId="3" fontId="15" fillId="2" borderId="76" xfId="0" applyNumberFormat="1" applyFont="1" applyFill="1" applyBorder="1" applyAlignment="1">
      <alignment horizontal="right"/>
    </xf>
    <xf numFmtId="0" fontId="15" fillId="3" borderId="37" xfId="0" applyFont="1" applyFill="1" applyBorder="1"/>
    <xf numFmtId="0" fontId="15" fillId="3" borderId="38" xfId="0" applyFont="1" applyFill="1" applyBorder="1"/>
    <xf numFmtId="0" fontId="15" fillId="2" borderId="24" xfId="0" applyFont="1" applyFill="1" applyBorder="1"/>
    <xf numFmtId="0" fontId="15" fillId="3" borderId="47" xfId="0" applyFont="1" applyFill="1" applyBorder="1"/>
    <xf numFmtId="0" fontId="15" fillId="3" borderId="73" xfId="0" applyFont="1" applyFill="1" applyBorder="1"/>
    <xf numFmtId="0" fontId="15" fillId="3" borderId="74" xfId="0" applyFont="1" applyFill="1" applyBorder="1"/>
    <xf numFmtId="165" fontId="15" fillId="3" borderId="39" xfId="0" applyNumberFormat="1" applyFont="1" applyFill="1" applyBorder="1"/>
    <xf numFmtId="0" fontId="15" fillId="3" borderId="75" xfId="0" applyFont="1" applyFill="1" applyBorder="1"/>
    <xf numFmtId="0" fontId="17" fillId="3" borderId="13" xfId="0" applyFont="1" applyFill="1" applyBorder="1"/>
    <xf numFmtId="0" fontId="17" fillId="3" borderId="14" xfId="0" applyFont="1" applyFill="1" applyBorder="1"/>
    <xf numFmtId="0" fontId="17" fillId="3" borderId="15" xfId="0" applyFont="1" applyFill="1" applyBorder="1"/>
    <xf numFmtId="0" fontId="17" fillId="3" borderId="0" xfId="0" applyFont="1" applyFill="1"/>
    <xf numFmtId="0" fontId="24" fillId="15" borderId="90" xfId="0" applyFont="1" applyFill="1" applyBorder="1" applyAlignment="1">
      <alignment horizontal="center" vertical="center" wrapText="1"/>
    </xf>
    <xf numFmtId="0" fontId="29" fillId="8" borderId="90" xfId="0" applyFont="1" applyFill="1" applyBorder="1" applyAlignment="1">
      <alignment horizontal="center" vertical="center" wrapText="1"/>
    </xf>
    <xf numFmtId="0" fontId="30" fillId="0" borderId="0" xfId="0" applyFont="1"/>
    <xf numFmtId="0" fontId="19" fillId="0" borderId="0" xfId="0" applyFont="1"/>
    <xf numFmtId="0" fontId="33" fillId="0" borderId="0" xfId="0" applyFont="1"/>
    <xf numFmtId="0" fontId="34" fillId="17" borderId="90" xfId="0" applyFont="1" applyFill="1" applyBorder="1" applyAlignment="1">
      <alignment horizontal="center" vertical="center" wrapText="1"/>
    </xf>
    <xf numFmtId="0" fontId="35" fillId="0" borderId="0" xfId="0" applyFont="1"/>
    <xf numFmtId="0" fontId="22" fillId="9" borderId="91" xfId="0" applyFont="1" applyFill="1" applyBorder="1" applyAlignment="1">
      <alignment horizontal="left" vertical="center" wrapText="1"/>
    </xf>
    <xf numFmtId="0" fontId="26" fillId="18" borderId="91" xfId="0" applyFont="1" applyFill="1" applyBorder="1" applyAlignment="1">
      <alignment horizontal="center" vertical="center" wrapText="1"/>
    </xf>
    <xf numFmtId="0" fontId="22" fillId="12" borderId="91" xfId="0" applyFont="1" applyFill="1" applyBorder="1" applyAlignment="1">
      <alignment horizontal="left" vertical="center" wrapText="1"/>
    </xf>
    <xf numFmtId="0" fontId="0" fillId="0" borderId="0" xfId="0" applyAlignment="1">
      <alignment vertical="center"/>
    </xf>
    <xf numFmtId="0" fontId="22" fillId="13" borderId="91" xfId="0" applyFont="1" applyFill="1" applyBorder="1" applyAlignment="1">
      <alignment horizontal="left" vertical="center" wrapText="1"/>
    </xf>
    <xf numFmtId="0" fontId="27" fillId="19" borderId="91" xfId="0" applyFont="1" applyFill="1" applyBorder="1" applyAlignment="1">
      <alignment horizontal="center" vertical="center" wrapText="1"/>
    </xf>
    <xf numFmtId="0" fontId="25" fillId="9" borderId="91" xfId="0" applyFont="1" applyFill="1" applyBorder="1" applyAlignment="1">
      <alignment horizontal="left" vertical="center" wrapText="1" indent="1"/>
    </xf>
    <xf numFmtId="0" fontId="25" fillId="13" borderId="91" xfId="0" applyFont="1" applyFill="1" applyBorder="1" applyAlignment="1">
      <alignment horizontal="left" vertical="center" wrapText="1" indent="1"/>
    </xf>
    <xf numFmtId="0" fontId="22" fillId="9" borderId="91" xfId="0" applyFont="1" applyFill="1" applyBorder="1" applyAlignment="1">
      <alignment horizontal="left" vertical="center" wrapText="1" indent="1"/>
    </xf>
    <xf numFmtId="0" fontId="22" fillId="13" borderId="91" xfId="0" applyFont="1" applyFill="1" applyBorder="1" applyAlignment="1">
      <alignment horizontal="left" vertical="center" wrapText="1" indent="1"/>
    </xf>
    <xf numFmtId="6" fontId="22" fillId="9" borderId="91" xfId="0" applyNumberFormat="1" applyFont="1" applyFill="1" applyBorder="1" applyAlignment="1">
      <alignment horizontal="left" vertical="center" wrapText="1" indent="1"/>
    </xf>
    <xf numFmtId="6" fontId="22" fillId="13" borderId="91" xfId="0" applyNumberFormat="1" applyFont="1" applyFill="1" applyBorder="1" applyAlignment="1">
      <alignment horizontal="left" vertical="center" wrapText="1" indent="1"/>
    </xf>
    <xf numFmtId="9" fontId="22" fillId="9" borderId="91" xfId="0" applyNumberFormat="1" applyFont="1" applyFill="1" applyBorder="1" applyAlignment="1">
      <alignment horizontal="left" vertical="center" wrapText="1" indent="1"/>
    </xf>
    <xf numFmtId="0" fontId="23" fillId="12" borderId="91" xfId="0" applyFont="1" applyFill="1" applyBorder="1" applyAlignment="1">
      <alignment horizontal="left" vertical="center" wrapText="1" indent="1"/>
    </xf>
    <xf numFmtId="0" fontId="22" fillId="14" borderId="91" xfId="0" applyFont="1" applyFill="1" applyBorder="1" applyAlignment="1">
      <alignment horizontal="left" vertical="center" wrapText="1" indent="1"/>
    </xf>
    <xf numFmtId="0" fontId="25" fillId="16" borderId="91" xfId="0" applyFont="1" applyFill="1" applyBorder="1" applyAlignment="1">
      <alignment horizontal="left" vertical="center" wrapText="1" indent="1"/>
    </xf>
    <xf numFmtId="0" fontId="22" fillId="16" borderId="91" xfId="0" applyFont="1" applyFill="1" applyBorder="1" applyAlignment="1">
      <alignment horizontal="left" vertical="center" wrapText="1" indent="1"/>
    </xf>
    <xf numFmtId="0" fontId="22" fillId="12" borderId="91" xfId="0" applyFont="1" applyFill="1" applyBorder="1" applyAlignment="1">
      <alignment horizontal="left" vertical="center" wrapText="1" indent="1"/>
    </xf>
    <xf numFmtId="0" fontId="25" fillId="14" borderId="91" xfId="0" applyFont="1" applyFill="1" applyBorder="1" applyAlignment="1">
      <alignment horizontal="left" vertical="center" wrapText="1" indent="1"/>
    </xf>
    <xf numFmtId="170" fontId="1" fillId="3" borderId="71" xfId="0" applyNumberFormat="1" applyFont="1" applyFill="1" applyBorder="1"/>
    <xf numFmtId="0" fontId="37" fillId="3" borderId="43" xfId="0" applyFont="1" applyFill="1" applyBorder="1"/>
    <xf numFmtId="0" fontId="37" fillId="4" borderId="21" xfId="0" applyFont="1" applyFill="1" applyBorder="1"/>
    <xf numFmtId="0" fontId="37" fillId="3" borderId="44" xfId="0" applyFont="1" applyFill="1" applyBorder="1"/>
    <xf numFmtId="0" fontId="37" fillId="3" borderId="23" xfId="0" applyFont="1" applyFill="1" applyBorder="1"/>
    <xf numFmtId="0" fontId="37" fillId="3" borderId="9" xfId="0" applyFont="1" applyFill="1" applyBorder="1"/>
    <xf numFmtId="3" fontId="37" fillId="4" borderId="21" xfId="0" applyNumberFormat="1" applyFont="1" applyFill="1" applyBorder="1"/>
    <xf numFmtId="4" fontId="37" fillId="4" borderId="21" xfId="0" applyNumberFormat="1" applyFont="1" applyFill="1" applyBorder="1"/>
    <xf numFmtId="0" fontId="0" fillId="0" borderId="92" xfId="0" applyBorder="1"/>
    <xf numFmtId="0" fontId="0" fillId="0" borderId="93" xfId="0" applyBorder="1"/>
    <xf numFmtId="0" fontId="0" fillId="3" borderId="6" xfId="0" applyFill="1" applyBorder="1"/>
    <xf numFmtId="0" fontId="0" fillId="3" borderId="7" xfId="0" applyFill="1" applyBorder="1"/>
    <xf numFmtId="164" fontId="0" fillId="3" borderId="11" xfId="0" applyNumberFormat="1" applyFill="1" applyBorder="1"/>
    <xf numFmtId="0" fontId="0" fillId="3" borderId="94" xfId="0" applyFill="1" applyBorder="1"/>
    <xf numFmtId="164" fontId="0" fillId="3" borderId="95" xfId="0" applyNumberFormat="1" applyFill="1" applyBorder="1"/>
    <xf numFmtId="0" fontId="4" fillId="3" borderId="96" xfId="0" applyFont="1" applyFill="1" applyBorder="1"/>
    <xf numFmtId="9" fontId="15" fillId="2" borderId="39" xfId="2" applyFont="1" applyFill="1" applyBorder="1"/>
    <xf numFmtId="3" fontId="0" fillId="3" borderId="4" xfId="0" applyNumberFormat="1" applyFill="1" applyBorder="1"/>
    <xf numFmtId="3" fontId="0" fillId="3" borderId="5" xfId="0" applyNumberFormat="1" applyFill="1" applyBorder="1"/>
    <xf numFmtId="3" fontId="0" fillId="3" borderId="6" xfId="0" applyNumberFormat="1" applyFill="1" applyBorder="1"/>
    <xf numFmtId="3" fontId="0" fillId="3" borderId="7" xfId="0" applyNumberFormat="1" applyFill="1" applyBorder="1"/>
    <xf numFmtId="3" fontId="0" fillId="3" borderId="8" xfId="0" applyNumberFormat="1" applyFill="1" applyBorder="1"/>
    <xf numFmtId="3" fontId="0" fillId="3" borderId="10" xfId="0" applyNumberFormat="1" applyFill="1" applyBorder="1"/>
    <xf numFmtId="3" fontId="0" fillId="3" borderId="11" xfId="0" applyNumberFormat="1" applyFill="1" applyBorder="1"/>
    <xf numFmtId="3" fontId="0" fillId="3" borderId="12" xfId="0" applyNumberFormat="1" applyFill="1" applyBorder="1"/>
    <xf numFmtId="0" fontId="0" fillId="3" borderId="0" xfId="0" applyFill="1" applyAlignment="1">
      <alignment horizontal="left" wrapText="1"/>
    </xf>
    <xf numFmtId="0" fontId="0" fillId="3" borderId="98" xfId="0" applyFill="1" applyBorder="1"/>
    <xf numFmtId="0" fontId="0" fillId="3" borderId="0" xfId="0" applyFill="1" applyAlignment="1">
      <alignment horizontal="center" vertical="center"/>
    </xf>
    <xf numFmtId="0" fontId="7" fillId="3" borderId="0" xfId="0" applyFont="1" applyFill="1" applyAlignment="1">
      <alignment horizontal="center" vertical="center"/>
    </xf>
    <xf numFmtId="0" fontId="38" fillId="3" borderId="0" xfId="0" applyFont="1" applyFill="1"/>
    <xf numFmtId="3" fontId="11" fillId="0" borderId="0" xfId="0" applyNumberFormat="1" applyFont="1" applyAlignment="1">
      <alignment horizontal="center" vertical="center"/>
    </xf>
    <xf numFmtId="170" fontId="1" fillId="3" borderId="99" xfId="0" applyNumberFormat="1" applyFont="1" applyFill="1" applyBorder="1"/>
    <xf numFmtId="0" fontId="5" fillId="3" borderId="0" xfId="0" applyFont="1" applyFill="1" applyAlignment="1">
      <alignment horizontal="left" vertical="center" wrapText="1" indent="1"/>
    </xf>
    <xf numFmtId="0" fontId="0" fillId="3" borderId="0" xfId="0" applyFill="1" applyAlignment="1">
      <alignment horizontal="left" vertical="center" wrapText="1" indent="1"/>
    </xf>
    <xf numFmtId="0" fontId="0" fillId="20" borderId="0" xfId="0" applyFill="1"/>
    <xf numFmtId="0" fontId="39" fillId="20" borderId="0" xfId="0" applyFont="1" applyFill="1" applyAlignment="1">
      <alignment wrapText="1"/>
    </xf>
    <xf numFmtId="0" fontId="40" fillId="20" borderId="0" xfId="0" applyFont="1" applyFill="1" applyAlignment="1">
      <alignment vertical="center" wrapText="1"/>
    </xf>
    <xf numFmtId="3" fontId="15" fillId="2" borderId="6" xfId="0" applyNumberFormat="1" applyFont="1" applyFill="1" applyBorder="1"/>
    <xf numFmtId="0" fontId="15" fillId="3" borderId="7" xfId="0" applyFont="1" applyFill="1" applyBorder="1" applyAlignment="1">
      <alignment wrapText="1"/>
    </xf>
    <xf numFmtId="0" fontId="15" fillId="3" borderId="8" xfId="0" applyFont="1" applyFill="1" applyBorder="1"/>
    <xf numFmtId="164" fontId="0" fillId="3" borderId="63" xfId="0" applyNumberFormat="1" applyFill="1" applyBorder="1"/>
    <xf numFmtId="171" fontId="0" fillId="3" borderId="64" xfId="2" applyNumberFormat="1" applyFont="1" applyFill="1" applyBorder="1"/>
    <xf numFmtId="165" fontId="15" fillId="2" borderId="11" xfId="0" applyNumberFormat="1" applyFont="1" applyFill="1" applyBorder="1"/>
    <xf numFmtId="164" fontId="0" fillId="3" borderId="0" xfId="0" applyNumberFormat="1" applyFill="1"/>
    <xf numFmtId="171" fontId="0" fillId="3" borderId="0" xfId="2" applyNumberFormat="1" applyFont="1" applyFill="1" applyBorder="1"/>
    <xf numFmtId="0" fontId="0" fillId="3" borderId="97" xfId="0" applyFill="1" applyBorder="1"/>
    <xf numFmtId="0" fontId="15" fillId="3" borderId="0" xfId="0" applyFont="1" applyFill="1" applyAlignment="1">
      <alignment horizontal="center"/>
    </xf>
    <xf numFmtId="0" fontId="4" fillId="3" borderId="15" xfId="0" applyFont="1" applyFill="1" applyBorder="1" applyAlignment="1">
      <alignment horizontal="center"/>
    </xf>
    <xf numFmtId="0" fontId="0" fillId="3" borderId="0" xfId="0" applyFill="1" applyAlignment="1">
      <alignment horizontal="left" vertical="center"/>
    </xf>
    <xf numFmtId="0" fontId="16" fillId="0" borderId="0" xfId="0" applyFont="1" applyAlignment="1">
      <alignment horizontal="left" vertical="center" wrapText="1"/>
    </xf>
    <xf numFmtId="0" fontId="0" fillId="3" borderId="0" xfId="0" quotePrefix="1" applyFill="1" applyAlignment="1">
      <alignment vertical="center" wrapText="1"/>
    </xf>
    <xf numFmtId="0" fontId="15" fillId="3" borderId="4" xfId="0" applyFont="1" applyFill="1" applyBorder="1"/>
    <xf numFmtId="3" fontId="15" fillId="3" borderId="4" xfId="0" applyNumberFormat="1" applyFont="1" applyFill="1" applyBorder="1"/>
    <xf numFmtId="165" fontId="15" fillId="3" borderId="4" xfId="0" applyNumberFormat="1" applyFont="1" applyFill="1" applyBorder="1"/>
    <xf numFmtId="0" fontId="0" fillId="3" borderId="4" xfId="0" applyFill="1" applyBorder="1" applyAlignment="1" applyProtection="1">
      <alignment horizontal="center" vertical="center"/>
      <protection locked="0"/>
    </xf>
    <xf numFmtId="0" fontId="7" fillId="3" borderId="0" xfId="0" applyFont="1" applyFill="1" applyProtection="1">
      <protection locked="0"/>
    </xf>
    <xf numFmtId="14" fontId="0" fillId="3" borderId="4" xfId="0" applyNumberFormat="1" applyFill="1" applyBorder="1" applyAlignment="1" applyProtection="1">
      <alignment horizontal="center"/>
      <protection locked="0"/>
    </xf>
    <xf numFmtId="0" fontId="0" fillId="3" borderId="0" xfId="0" applyFill="1" applyProtection="1">
      <protection locked="0"/>
    </xf>
    <xf numFmtId="0" fontId="0" fillId="3" borderId="4" xfId="0" applyFill="1" applyBorder="1" applyAlignment="1" applyProtection="1">
      <alignment horizontal="center"/>
      <protection locked="0"/>
    </xf>
    <xf numFmtId="0" fontId="0" fillId="3" borderId="0" xfId="0" applyFill="1" applyAlignment="1" applyProtection="1">
      <alignment horizontal="center"/>
      <protection locked="0"/>
    </xf>
    <xf numFmtId="3" fontId="11" fillId="2" borderId="21" xfId="0" applyNumberFormat="1" applyFont="1" applyFill="1" applyBorder="1" applyAlignment="1" applyProtection="1">
      <alignment horizontal="center" vertical="center"/>
      <protection locked="0"/>
    </xf>
    <xf numFmtId="3" fontId="0" fillId="2" borderId="21" xfId="0" applyNumberFormat="1" applyFill="1" applyBorder="1" applyAlignment="1" applyProtection="1">
      <alignment horizontal="center" wrapText="1"/>
      <protection locked="0"/>
    </xf>
    <xf numFmtId="3" fontId="11" fillId="3" borderId="0" xfId="0" applyNumberFormat="1" applyFont="1" applyFill="1" applyAlignment="1" applyProtection="1">
      <alignment horizontal="center" vertical="center"/>
      <protection locked="0"/>
    </xf>
    <xf numFmtId="3" fontId="0" fillId="2" borderId="4" xfId="0" applyNumberFormat="1" applyFill="1" applyBorder="1" applyAlignment="1" applyProtection="1">
      <alignment horizontal="center" vertical="center"/>
      <protection locked="0"/>
    </xf>
    <xf numFmtId="3" fontId="0" fillId="3" borderId="0" xfId="0" applyNumberFormat="1" applyFill="1" applyAlignment="1" applyProtection="1">
      <alignment horizontal="center" vertical="center"/>
      <protection locked="0"/>
    </xf>
    <xf numFmtId="0" fontId="39" fillId="20" borderId="0" xfId="0" applyFont="1" applyFill="1" applyAlignment="1" applyProtection="1">
      <alignment wrapText="1"/>
      <protection locked="0"/>
    </xf>
    <xf numFmtId="0" fontId="0" fillId="20" borderId="0" xfId="0" applyFill="1" applyProtection="1">
      <protection locked="0"/>
    </xf>
    <xf numFmtId="3" fontId="11" fillId="0" borderId="0" xfId="0" applyNumberFormat="1" applyFont="1" applyAlignment="1" applyProtection="1">
      <alignment horizontal="center" vertical="center"/>
      <protection locked="0"/>
    </xf>
    <xf numFmtId="0" fontId="0" fillId="5" borderId="0" xfId="0" applyFill="1" applyAlignment="1" applyProtection="1">
      <alignment horizontal="center"/>
      <protection locked="0"/>
    </xf>
    <xf numFmtId="169" fontId="0" fillId="2" borderId="4" xfId="1" applyNumberFormat="1" applyFont="1" applyFill="1" applyBorder="1" applyAlignment="1" applyProtection="1">
      <alignment horizontal="center"/>
      <protection locked="0"/>
    </xf>
    <xf numFmtId="0" fontId="2" fillId="3" borderId="0" xfId="0" applyFont="1" applyFill="1" applyAlignment="1" applyProtection="1">
      <alignment horizontal="center"/>
      <protection locked="0"/>
    </xf>
    <xf numFmtId="3" fontId="0" fillId="2" borderId="21" xfId="0" applyNumberFormat="1" applyFill="1" applyBorder="1" applyAlignment="1" applyProtection="1">
      <alignment wrapText="1"/>
      <protection locked="0"/>
    </xf>
    <xf numFmtId="0" fontId="0" fillId="2" borderId="4" xfId="0" applyFill="1" applyBorder="1" applyAlignment="1" applyProtection="1">
      <alignment horizontal="center"/>
      <protection locked="0"/>
    </xf>
    <xf numFmtId="0" fontId="0" fillId="3" borderId="21" xfId="0" applyFill="1" applyBorder="1" applyAlignment="1" applyProtection="1">
      <alignment horizontal="center"/>
      <protection locked="0"/>
    </xf>
    <xf numFmtId="9" fontId="0" fillId="2" borderId="21" xfId="2" applyFont="1" applyFill="1" applyBorder="1" applyAlignment="1" applyProtection="1">
      <alignment wrapText="1"/>
      <protection locked="0"/>
    </xf>
    <xf numFmtId="0" fontId="2" fillId="3" borderId="0" xfId="0" applyFont="1" applyFill="1" applyAlignment="1" applyProtection="1">
      <alignment horizontal="center" wrapText="1"/>
      <protection locked="0"/>
    </xf>
    <xf numFmtId="3" fontId="0" fillId="2" borderId="21" xfId="0" applyNumberFormat="1" applyFill="1" applyBorder="1" applyAlignment="1" applyProtection="1">
      <alignment horizontal="center" vertical="center" wrapText="1"/>
      <protection locked="0"/>
    </xf>
    <xf numFmtId="0" fontId="0" fillId="0" borderId="0" xfId="0" applyAlignment="1" applyProtection="1">
      <alignment horizontal="center"/>
      <protection locked="0"/>
    </xf>
    <xf numFmtId="0" fontId="0" fillId="3" borderId="0" xfId="0" quotePrefix="1" applyFill="1" applyAlignment="1">
      <alignment horizontal="left" vertical="center" wrapText="1"/>
    </xf>
    <xf numFmtId="0" fontId="15" fillId="0" borderId="0" xfId="0" applyFont="1" applyAlignment="1">
      <alignment vertical="center" wrapText="1"/>
    </xf>
    <xf numFmtId="0" fontId="0" fillId="3" borderId="4" xfId="0" applyFill="1" applyBorder="1"/>
    <xf numFmtId="0" fontId="0" fillId="0" borderId="4" xfId="0" applyBorder="1" applyAlignment="1">
      <alignment horizontal="center"/>
    </xf>
    <xf numFmtId="0" fontId="0" fillId="3" borderId="5" xfId="0" applyFill="1" applyBorder="1"/>
    <xf numFmtId="0" fontId="0" fillId="0" borderId="6" xfId="0" applyBorder="1" applyAlignment="1">
      <alignment horizontal="center"/>
    </xf>
    <xf numFmtId="0" fontId="0" fillId="3" borderId="11" xfId="0" applyFill="1" applyBorder="1"/>
    <xf numFmtId="0" fontId="0" fillId="0" borderId="11" xfId="0" applyBorder="1" applyAlignment="1">
      <alignment horizontal="center"/>
    </xf>
    <xf numFmtId="0" fontId="15" fillId="0" borderId="100" xfId="0" applyFont="1" applyBorder="1" applyAlignment="1">
      <alignment horizontal="left" vertical="center" wrapText="1"/>
    </xf>
    <xf numFmtId="0" fontId="15" fillId="0" borderId="101" xfId="0" applyFont="1" applyBorder="1" applyAlignment="1">
      <alignment horizontal="left" vertical="center" wrapText="1"/>
    </xf>
    <xf numFmtId="0" fontId="15" fillId="0" borderId="102" xfId="0" applyFont="1" applyBorder="1" applyAlignment="1">
      <alignment horizontal="left" vertical="center" wrapText="1"/>
    </xf>
    <xf numFmtId="0" fontId="15" fillId="3" borderId="0" xfId="0" applyFont="1" applyFill="1" applyAlignment="1">
      <alignment horizontal="left" wrapText="1"/>
    </xf>
    <xf numFmtId="0" fontId="16" fillId="0" borderId="0" xfId="0" applyFont="1" applyAlignment="1">
      <alignment horizontal="left" vertical="center" wrapText="1"/>
    </xf>
    <xf numFmtId="0" fontId="13" fillId="3" borderId="77" xfId="0" applyFont="1" applyFill="1" applyBorder="1" applyAlignment="1">
      <alignment horizontal="left" vertical="center" wrapText="1"/>
    </xf>
    <xf numFmtId="0" fontId="13" fillId="3" borderId="88" xfId="0" applyFont="1" applyFill="1" applyBorder="1" applyAlignment="1">
      <alignment horizontal="left" vertical="center" wrapText="1"/>
    </xf>
    <xf numFmtId="0" fontId="13" fillId="3" borderId="89" xfId="0" applyFont="1" applyFill="1" applyBorder="1" applyAlignment="1">
      <alignment horizontal="left" vertical="center" wrapText="1"/>
    </xf>
    <xf numFmtId="0" fontId="13" fillId="3" borderId="77" xfId="0" applyFont="1" applyFill="1" applyBorder="1" applyAlignment="1">
      <alignment vertical="center" wrapText="1"/>
    </xf>
    <xf numFmtId="0" fontId="13" fillId="3" borderId="88" xfId="0" applyFont="1" applyFill="1" applyBorder="1" applyAlignment="1">
      <alignment vertical="center" wrapText="1"/>
    </xf>
    <xf numFmtId="0" fontId="13" fillId="3" borderId="89" xfId="0" applyFont="1" applyFill="1" applyBorder="1" applyAlignment="1">
      <alignment vertical="center" wrapText="1"/>
    </xf>
    <xf numFmtId="0" fontId="41" fillId="3" borderId="103" xfId="0" applyFont="1" applyFill="1" applyBorder="1" applyAlignment="1">
      <alignment horizontal="left"/>
    </xf>
    <xf numFmtId="0" fontId="41" fillId="3" borderId="104" xfId="0" applyFont="1" applyFill="1" applyBorder="1" applyAlignment="1">
      <alignment horizontal="left"/>
    </xf>
    <xf numFmtId="0" fontId="41" fillId="3" borderId="105" xfId="0" applyFont="1" applyFill="1" applyBorder="1" applyAlignment="1">
      <alignment horizontal="left"/>
    </xf>
    <xf numFmtId="0" fontId="1" fillId="3" borderId="5"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31" fillId="7" borderId="0" xfId="0" applyFont="1" applyFill="1" applyAlignment="1">
      <alignment horizontal="left" vertical="center" wrapText="1"/>
    </xf>
    <xf numFmtId="0" fontId="28" fillId="10" borderId="0" xfId="0" applyFont="1" applyFill="1" applyAlignment="1">
      <alignment horizontal="left" vertical="center" wrapText="1"/>
    </xf>
    <xf numFmtId="0" fontId="23" fillId="11" borderId="0" xfId="0" applyFont="1" applyFill="1" applyAlignment="1">
      <alignment horizontal="left" vertical="center" wrapText="1"/>
    </xf>
    <xf numFmtId="0" fontId="0" fillId="9" borderId="0" xfId="0" applyFill="1"/>
    <xf numFmtId="0" fontId="32" fillId="7" borderId="0" xfId="0" applyFont="1" applyFill="1" applyAlignment="1">
      <alignment horizontal="left" vertical="center" wrapText="1"/>
    </xf>
    <xf numFmtId="0" fontId="20" fillId="8" borderId="0" xfId="0" applyFont="1" applyFill="1" applyAlignment="1">
      <alignment horizontal="left" vertical="center" wrapText="1"/>
    </xf>
    <xf numFmtId="0" fontId="21" fillId="8" borderId="0" xfId="0" applyFont="1" applyFill="1" applyAlignment="1">
      <alignment horizontal="left" vertical="center" wrapText="1"/>
    </xf>
    <xf numFmtId="0" fontId="22" fillId="10" borderId="0" xfId="0" applyFont="1" applyFill="1" applyAlignment="1">
      <alignment horizontal="left" vertical="top" wrapText="1"/>
    </xf>
  </cellXfs>
  <cellStyles count="3">
    <cellStyle name="Comma" xfId="1" builtinId="3"/>
    <cellStyle name="Normal" xfId="0" builtinId="0"/>
    <cellStyle name="Percent" xfId="2" builtinId="5"/>
  </cellStyles>
  <dxfs count="4">
    <dxf>
      <fill>
        <patternFill>
          <bgColor rgb="FFFFC000"/>
        </patternFill>
      </fill>
    </dxf>
    <dxf>
      <fill>
        <patternFill>
          <bgColor rgb="FF92D050"/>
        </patternFill>
      </fill>
    </dxf>
    <dxf>
      <fill>
        <patternFill>
          <bgColor rgb="FFFF0000"/>
        </patternFill>
      </fill>
    </dxf>
    <dxf>
      <fill>
        <patternFill>
          <bgColor rgb="FF92D050"/>
        </patternFill>
      </fill>
    </dxf>
  </dxfs>
  <tableStyles count="0" defaultTableStyle="TableStyleMedium9" defaultPivotStyle="PivotStyleLight16"/>
  <colors>
    <mruColors>
      <color rgb="FFFFB9FF"/>
      <color rgb="FFFF66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P&amp;L - Target Heat Price (EUR/MWh)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cat>
            <c:numRef>
              <c:f>'Results-P&amp;L'!$D$26:$S$26</c:f>
              <c:numCache>
                <c:formatCode>General</c:formatCode>
                <c:ptCount val="16"/>
                <c:pt idx="0">
                  <c:v>1</c:v>
                </c:pt>
                <c:pt idx="1">
                  <c:v>2</c:v>
                </c:pt>
                <c:pt idx="2">
                  <c:v>3</c:v>
                </c:pt>
                <c:pt idx="3">
                  <c:v>4</c:v>
                </c:pt>
                <c:pt idx="4">
                  <c:v>5</c:v>
                </c:pt>
                <c:pt idx="5">
                  <c:v>6</c:v>
                </c:pt>
                <c:pt idx="6">
                  <c:v>7</c:v>
                </c:pt>
                <c:pt idx="7">
                  <c:v>8</c:v>
                </c:pt>
                <c:pt idx="8">
                  <c:v>9</c:v>
                </c:pt>
                <c:pt idx="9">
                  <c:v>10</c:v>
                </c:pt>
                <c:pt idx="10">
                  <c:v>15</c:v>
                </c:pt>
                <c:pt idx="11">
                  <c:v>16</c:v>
                </c:pt>
                <c:pt idx="12">
                  <c:v>17</c:v>
                </c:pt>
                <c:pt idx="13">
                  <c:v>18</c:v>
                </c:pt>
                <c:pt idx="14">
                  <c:v>19</c:v>
                </c:pt>
                <c:pt idx="15">
                  <c:v>20</c:v>
                </c:pt>
              </c:numCache>
            </c:numRef>
          </c:cat>
          <c:val>
            <c:numRef>
              <c:f>'Results-P&amp;L'!$D$34:$S$34</c:f>
              <c:numCache>
                <c:formatCode>#,##0</c:formatCode>
                <c:ptCount val="16"/>
                <c:pt idx="0">
                  <c:v>27681.326639097882</c:v>
                </c:pt>
                <c:pt idx="1">
                  <c:v>60586.368425305525</c:v>
                </c:pt>
                <c:pt idx="2">
                  <c:v>98819.599661565037</c:v>
                </c:pt>
                <c:pt idx="3">
                  <c:v>142487.58413687756</c:v>
                </c:pt>
                <c:pt idx="4">
                  <c:v>191699.01691602421</c:v>
                </c:pt>
                <c:pt idx="5">
                  <c:v>246564.76696508139</c:v>
                </c:pt>
                <c:pt idx="6">
                  <c:v>307197.92062944738</c:v>
                </c:pt>
                <c:pt idx="7">
                  <c:v>373713.82598142856</c:v>
                </c:pt>
                <c:pt idx="8">
                  <c:v>446230.13805477711</c:v>
                </c:pt>
                <c:pt idx="9">
                  <c:v>524866.86498392047</c:v>
                </c:pt>
                <c:pt idx="10">
                  <c:v>609746.41506597446</c:v>
                </c:pt>
                <c:pt idx="11">
                  <c:v>700993.64476399729</c:v>
                </c:pt>
                <c:pt idx="12">
                  <c:v>798735.90767030825</c:v>
                </c:pt>
                <c:pt idx="13">
                  <c:v>903103.1044490732</c:v>
                </c:pt>
                <c:pt idx="14">
                  <c:v>1014227.7337777411</c:v>
                </c:pt>
                <c:pt idx="15">
                  <c:v>1132244.94430731</c:v>
                </c:pt>
              </c:numCache>
            </c:numRef>
          </c:val>
          <c:extLst>
            <c:ext xmlns:c16="http://schemas.microsoft.com/office/drawing/2014/chart" uri="{C3380CC4-5D6E-409C-BE32-E72D297353CC}">
              <c16:uniqueId val="{00000000-A705-417C-8F5A-7DE0733B3498}"/>
            </c:ext>
          </c:extLst>
        </c:ser>
        <c:dLbls>
          <c:showLegendKey val="0"/>
          <c:showVal val="0"/>
          <c:showCatName val="0"/>
          <c:showSerName val="0"/>
          <c:showPercent val="0"/>
          <c:showBubbleSize val="0"/>
        </c:dLbls>
        <c:gapWidth val="219"/>
        <c:overlap val="-27"/>
        <c:axId val="135468000"/>
        <c:axId val="135465120"/>
      </c:barChart>
      <c:catAx>
        <c:axId val="135468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5465120"/>
        <c:crosses val="autoZero"/>
        <c:auto val="1"/>
        <c:lblAlgn val="ctr"/>
        <c:lblOffset val="100"/>
        <c:noMultiLvlLbl val="0"/>
      </c:catAx>
      <c:valAx>
        <c:axId val="1354651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54680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2352675</xdr:colOff>
      <xdr:row>35</xdr:row>
      <xdr:rowOff>171450</xdr:rowOff>
    </xdr:from>
    <xdr:to>
      <xdr:col>19</xdr:col>
      <xdr:colOff>9525</xdr:colOff>
      <xdr:row>50</xdr:row>
      <xdr:rowOff>85725</xdr:rowOff>
    </xdr:to>
    <xdr:graphicFrame macro="">
      <xdr:nvGraphicFramePr>
        <xdr:cNvPr id="3" name="Chart 2">
          <a:extLst>
            <a:ext uri="{FF2B5EF4-FFF2-40B4-BE49-F238E27FC236}">
              <a16:creationId xmlns:a16="http://schemas.microsoft.com/office/drawing/2014/main" id="{26F0E329-0029-3551-90E4-38656145773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Jo-Ann Garbutt" id="{3FD3996D-4051-4C9C-B843-6B1D026A8065}" userId="S::jgarbutt@digitalrealty.com::794eb968-6f80-4a51-ac1d-ca74f05194c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J64" dT="2026-03-12T10:55:20.73" personId="{3FD3996D-4051-4C9C-B843-6B1D026A8065}" id="{E63B252B-28F2-42B9-8CB1-8102677E38AC}">
    <text>I think we should add in a question to indicate if the DC needs to plan for covering that (in scope or out of scope assumption)</text>
  </threadedComment>
  <threadedComment ref="C72" dT="2026-03-12T10:55:20.73" personId="{3FD3996D-4051-4C9C-B843-6B1D026A8065}" id="{A6D39C80-5FF7-4B57-A8D0-F57F5CCE88A1}">
    <text>I think we should add in a question to indicate if the DC needs to plan for covering that (in scope or out of scope assumption)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AA854-FDC6-48F2-8EE1-2D39B0DFF2D3}">
  <sheetPr>
    <tabColor rgb="FF92D050"/>
  </sheetPr>
  <dimension ref="B1:N127"/>
  <sheetViews>
    <sheetView tabSelected="1" topLeftCell="B1" zoomScale="85" zoomScaleNormal="85" workbookViewId="0">
      <selection activeCell="G22" sqref="G22"/>
    </sheetView>
  </sheetViews>
  <sheetFormatPr defaultColWidth="8.88671875" defaultRowHeight="14.4" x14ac:dyDescent="0.3"/>
  <cols>
    <col min="1" max="1" width="4" style="1" customWidth="1"/>
    <col min="2" max="2" width="6.44140625" style="1" customWidth="1"/>
    <col min="3" max="3" width="88.77734375" style="1" customWidth="1"/>
    <col min="4" max="4" width="12.109375" style="1" customWidth="1"/>
    <col min="5" max="5" width="12.109375" style="23" customWidth="1"/>
    <col min="6" max="6" width="11.44140625" style="1" customWidth="1"/>
    <col min="7" max="7" width="11.33203125" style="1" customWidth="1"/>
    <col min="8" max="8" width="5.21875" style="212" customWidth="1"/>
    <col min="9" max="9" width="8.88671875" style="1"/>
    <col min="10" max="10" width="84.109375" style="1" customWidth="1"/>
    <col min="11" max="16384" width="8.88671875" style="1"/>
  </cols>
  <sheetData>
    <row r="1" spans="2:10" x14ac:dyDescent="0.3">
      <c r="B1" s="87"/>
      <c r="C1" s="87"/>
      <c r="D1" s="87"/>
      <c r="E1" s="231"/>
      <c r="F1" s="87"/>
      <c r="G1" s="87"/>
    </row>
    <row r="2" spans="2:10" x14ac:dyDescent="0.3">
      <c r="B2" s="87" t="s">
        <v>457</v>
      </c>
      <c r="C2" s="87"/>
      <c r="D2" s="87"/>
      <c r="E2" s="231"/>
      <c r="F2" s="87"/>
      <c r="G2" s="87"/>
    </row>
    <row r="3" spans="2:10" ht="28.95" customHeight="1" x14ac:dyDescent="0.3">
      <c r="B3" s="274" t="s">
        <v>0</v>
      </c>
      <c r="C3" s="274"/>
      <c r="D3" s="274"/>
      <c r="E3" s="274"/>
      <c r="F3" s="87"/>
      <c r="G3" s="87"/>
    </row>
    <row r="4" spans="2:10" s="233" customFormat="1" ht="20.399999999999999" customHeight="1" x14ac:dyDescent="0.3">
      <c r="B4" s="275" t="s">
        <v>460</v>
      </c>
      <c r="C4" s="275"/>
      <c r="D4" s="275"/>
      <c r="E4" s="275"/>
      <c r="F4" s="275"/>
      <c r="G4" s="275"/>
      <c r="J4" s="263"/>
    </row>
    <row r="5" spans="2:10" ht="103.2" customHeight="1" x14ac:dyDescent="0.3">
      <c r="B5" s="234"/>
      <c r="C5" s="271" t="s">
        <v>461</v>
      </c>
      <c r="D5" s="272"/>
      <c r="E5" s="272"/>
      <c r="F5" s="273"/>
      <c r="G5" s="234"/>
      <c r="J5" s="235"/>
    </row>
    <row r="6" spans="2:10" ht="19.8" customHeight="1" x14ac:dyDescent="0.3">
      <c r="B6" s="275" t="s">
        <v>458</v>
      </c>
      <c r="C6" s="275"/>
      <c r="D6" s="275"/>
      <c r="E6" s="275"/>
      <c r="F6" s="275"/>
      <c r="G6" s="275"/>
      <c r="J6" s="235"/>
    </row>
    <row r="7" spans="2:10" ht="93" customHeight="1" x14ac:dyDescent="0.3">
      <c r="B7" s="234"/>
      <c r="C7" s="271" t="s">
        <v>462</v>
      </c>
      <c r="D7" s="272"/>
      <c r="E7" s="272"/>
      <c r="F7" s="273"/>
      <c r="G7" s="234"/>
      <c r="J7" s="235"/>
    </row>
    <row r="8" spans="2:10" ht="22.8" customHeight="1" x14ac:dyDescent="0.3">
      <c r="B8" s="275" t="s">
        <v>459</v>
      </c>
      <c r="C8" s="275"/>
      <c r="D8" s="275"/>
      <c r="E8" s="275"/>
      <c r="F8" s="275"/>
      <c r="G8" s="275"/>
      <c r="J8" s="235"/>
    </row>
    <row r="9" spans="2:10" ht="99.6" customHeight="1" x14ac:dyDescent="0.3">
      <c r="B9" s="234"/>
      <c r="C9" s="271" t="s">
        <v>463</v>
      </c>
      <c r="D9" s="272"/>
      <c r="E9" s="272"/>
      <c r="F9" s="273"/>
      <c r="G9" s="234"/>
      <c r="J9" s="235"/>
    </row>
    <row r="10" spans="2:10" ht="15.6" customHeight="1" x14ac:dyDescent="0.3">
      <c r="B10" s="210"/>
      <c r="C10" s="210"/>
      <c r="D10" s="210"/>
      <c r="E10" s="210"/>
    </row>
    <row r="11" spans="2:10" ht="18" x14ac:dyDescent="0.3">
      <c r="B11" s="28" t="s">
        <v>1</v>
      </c>
      <c r="C11" s="29"/>
      <c r="D11" s="29"/>
      <c r="E11" s="30"/>
      <c r="F11" s="30"/>
      <c r="G11" s="30"/>
    </row>
    <row r="12" spans="2:10" ht="7.2" customHeight="1" x14ac:dyDescent="0.3">
      <c r="B12" s="24"/>
    </row>
    <row r="13" spans="2:10" x14ac:dyDescent="0.3">
      <c r="B13" s="24" t="s">
        <v>2</v>
      </c>
      <c r="C13" s="19" t="s">
        <v>426</v>
      </c>
      <c r="D13" s="21"/>
    </row>
    <row r="14" spans="2:10" x14ac:dyDescent="0.3">
      <c r="B14" s="24"/>
      <c r="C14" s="1" t="s">
        <v>3</v>
      </c>
    </row>
    <row r="15" spans="2:10" s="21" customFormat="1" x14ac:dyDescent="0.3">
      <c r="B15" s="25"/>
      <c r="C15" s="26" t="s">
        <v>4</v>
      </c>
      <c r="D15" s="26"/>
      <c r="E15" s="239" t="s">
        <v>5</v>
      </c>
      <c r="F15" s="240"/>
      <c r="G15" s="240"/>
      <c r="H15" s="213"/>
      <c r="I15" s="19"/>
    </row>
    <row r="16" spans="2:10" x14ac:dyDescent="0.3">
      <c r="B16" s="24"/>
      <c r="C16" s="26" t="s">
        <v>6</v>
      </c>
      <c r="D16" s="26"/>
      <c r="E16" s="241">
        <v>45961</v>
      </c>
      <c r="F16" s="242"/>
      <c r="G16" s="242"/>
    </row>
    <row r="17" spans="2:7" x14ac:dyDescent="0.3">
      <c r="B17" s="24"/>
      <c r="C17" s="26"/>
      <c r="D17" s="26"/>
      <c r="E17" s="242"/>
      <c r="F17" s="242"/>
      <c r="G17" s="242"/>
    </row>
    <row r="18" spans="2:7" x14ac:dyDescent="0.3">
      <c r="B18" s="24" t="s">
        <v>7</v>
      </c>
      <c r="C18" s="19" t="s">
        <v>427</v>
      </c>
      <c r="D18" s="21"/>
      <c r="E18" s="243" t="s">
        <v>8</v>
      </c>
      <c r="F18" s="242"/>
      <c r="G18" s="242"/>
    </row>
    <row r="19" spans="2:7" x14ac:dyDescent="0.3">
      <c r="B19" s="24"/>
      <c r="C19" s="34" t="s">
        <v>9</v>
      </c>
      <c r="D19" s="34"/>
      <c r="E19" s="244"/>
      <c r="F19" s="242"/>
      <c r="G19" s="242"/>
    </row>
    <row r="20" spans="2:7" x14ac:dyDescent="0.3">
      <c r="B20" s="211"/>
      <c r="E20" s="244"/>
      <c r="F20" s="242"/>
      <c r="G20" s="242"/>
    </row>
    <row r="21" spans="2:7" x14ac:dyDescent="0.3">
      <c r="B21" s="211" t="s">
        <v>10</v>
      </c>
      <c r="C21" s="19" t="s">
        <v>429</v>
      </c>
      <c r="E21" s="244"/>
      <c r="F21" s="242"/>
      <c r="G21" s="242"/>
    </row>
    <row r="22" spans="2:7" x14ac:dyDescent="0.3">
      <c r="B22" s="211"/>
      <c r="C22" s="19" t="s">
        <v>438</v>
      </c>
      <c r="E22" s="243" t="s">
        <v>8</v>
      </c>
      <c r="F22" s="242"/>
      <c r="G22" s="242"/>
    </row>
    <row r="23" spans="2:7" ht="43.2" x14ac:dyDescent="0.3">
      <c r="B23" s="211"/>
      <c r="C23" s="17" t="s">
        <v>430</v>
      </c>
      <c r="E23" s="244"/>
      <c r="F23" s="242"/>
      <c r="G23" s="242"/>
    </row>
    <row r="24" spans="2:7" ht="6.6" customHeight="1" x14ac:dyDescent="0.3">
      <c r="B24" s="211"/>
      <c r="C24" s="17"/>
      <c r="E24" s="244"/>
      <c r="F24" s="242"/>
      <c r="G24" s="242"/>
    </row>
    <row r="25" spans="2:7" x14ac:dyDescent="0.3">
      <c r="B25" s="211"/>
      <c r="C25" s="19" t="s">
        <v>454</v>
      </c>
      <c r="E25" s="243" t="s">
        <v>8</v>
      </c>
      <c r="F25" s="242"/>
      <c r="G25" s="242"/>
    </row>
    <row r="26" spans="2:7" x14ac:dyDescent="0.3">
      <c r="B26" s="211"/>
      <c r="C26" s="1" t="s">
        <v>444</v>
      </c>
      <c r="E26" s="244"/>
      <c r="F26" s="242"/>
      <c r="G26" s="242"/>
    </row>
    <row r="27" spans="2:7" x14ac:dyDescent="0.3">
      <c r="B27" s="211"/>
      <c r="C27" s="1" t="s">
        <v>437</v>
      </c>
      <c r="E27" s="245" t="str">
        <f>IF(E25="yes","amount?","-")</f>
        <v>amount?</v>
      </c>
      <c r="F27" s="246">
        <v>95</v>
      </c>
      <c r="G27" s="242"/>
    </row>
    <row r="28" spans="2:7" ht="14.4" customHeight="1" x14ac:dyDescent="0.3">
      <c r="B28" s="211"/>
      <c r="E28" s="247"/>
      <c r="F28" s="242"/>
      <c r="G28" s="242"/>
    </row>
    <row r="29" spans="2:7" x14ac:dyDescent="0.3">
      <c r="B29" s="211"/>
      <c r="C29" s="19" t="s">
        <v>439</v>
      </c>
      <c r="E29" s="243" t="s">
        <v>11</v>
      </c>
      <c r="F29" s="242"/>
      <c r="G29" s="242"/>
    </row>
    <row r="30" spans="2:7" ht="57.6" x14ac:dyDescent="0.3">
      <c r="B30" s="211"/>
      <c r="C30" s="17" t="s">
        <v>431</v>
      </c>
      <c r="E30" s="244"/>
      <c r="F30" s="242"/>
      <c r="G30" s="242"/>
    </row>
    <row r="31" spans="2:7" x14ac:dyDescent="0.3">
      <c r="E31" s="244"/>
      <c r="F31" s="242"/>
      <c r="G31" s="242"/>
    </row>
    <row r="32" spans="2:7" x14ac:dyDescent="0.3">
      <c r="B32" s="24" t="s">
        <v>428</v>
      </c>
      <c r="C32" s="19" t="s">
        <v>451</v>
      </c>
      <c r="D32" s="21"/>
      <c r="E32" s="244"/>
      <c r="F32" s="242"/>
      <c r="G32" s="242"/>
    </row>
    <row r="33" spans="2:14" s="21" customFormat="1" x14ac:dyDescent="0.3">
      <c r="B33" s="25"/>
      <c r="C33" s="218" t="s">
        <v>449</v>
      </c>
      <c r="D33" s="26"/>
      <c r="E33" s="248">
        <v>175200</v>
      </c>
      <c r="F33" s="240"/>
      <c r="G33" s="240"/>
      <c r="H33" s="213"/>
      <c r="I33" s="19"/>
    </row>
    <row r="34" spans="2:14" s="21" customFormat="1" x14ac:dyDescent="0.3">
      <c r="B34" s="25"/>
      <c r="C34" s="217"/>
      <c r="D34" s="26"/>
      <c r="E34" s="249"/>
      <c r="F34" s="240"/>
      <c r="G34" s="240"/>
      <c r="H34" s="213"/>
      <c r="I34" s="19"/>
    </row>
    <row r="35" spans="2:14" x14ac:dyDescent="0.3">
      <c r="B35" s="24"/>
      <c r="C35" s="218" t="s">
        <v>450</v>
      </c>
      <c r="D35" s="220"/>
      <c r="E35" s="248">
        <v>133880</v>
      </c>
      <c r="F35" s="250"/>
      <c r="G35" s="250"/>
      <c r="H35" s="220"/>
    </row>
    <row r="36" spans="2:14" x14ac:dyDescent="0.3">
      <c r="C36" s="221"/>
      <c r="D36" s="219"/>
      <c r="E36" s="251"/>
      <c r="F36" s="251"/>
      <c r="G36" s="251"/>
      <c r="H36" s="219"/>
    </row>
    <row r="37" spans="2:14" ht="18" x14ac:dyDescent="0.35">
      <c r="C37" s="214" t="s">
        <v>440</v>
      </c>
      <c r="E37" s="252"/>
      <c r="F37" s="242"/>
      <c r="G37" s="242"/>
      <c r="J37" s="214" t="s">
        <v>441</v>
      </c>
      <c r="L37" s="215"/>
    </row>
    <row r="38" spans="2:14" x14ac:dyDescent="0.3">
      <c r="E38" s="244"/>
      <c r="F38" s="242"/>
      <c r="G38" s="242"/>
      <c r="L38" s="23"/>
    </row>
    <row r="39" spans="2:14" ht="18" x14ac:dyDescent="0.3">
      <c r="B39" s="28" t="s">
        <v>12</v>
      </c>
      <c r="C39" s="29"/>
      <c r="D39" s="29"/>
      <c r="E39" s="253"/>
      <c r="F39" s="253"/>
      <c r="G39" s="253"/>
      <c r="I39" s="28" t="s">
        <v>12</v>
      </c>
      <c r="J39" s="29"/>
      <c r="K39" s="29"/>
      <c r="L39" s="30"/>
      <c r="M39" s="30"/>
      <c r="N39" s="30"/>
    </row>
    <row r="40" spans="2:14" ht="6.6" customHeight="1" x14ac:dyDescent="0.3">
      <c r="B40" s="24"/>
      <c r="E40" s="244"/>
      <c r="F40" s="242"/>
      <c r="G40" s="242"/>
      <c r="I40" s="24"/>
      <c r="L40" s="23"/>
    </row>
    <row r="41" spans="2:14" x14ac:dyDescent="0.3">
      <c r="B41" s="24" t="s">
        <v>13</v>
      </c>
      <c r="C41" s="21" t="s">
        <v>14</v>
      </c>
      <c r="D41" s="21"/>
      <c r="E41" s="254">
        <v>6000</v>
      </c>
      <c r="F41" s="242"/>
      <c r="G41" s="242"/>
      <c r="I41" s="24" t="s">
        <v>13</v>
      </c>
      <c r="J41" s="21" t="s">
        <v>14</v>
      </c>
      <c r="K41" s="21"/>
      <c r="L41" s="254">
        <v>6000</v>
      </c>
      <c r="M41" s="242"/>
      <c r="N41" s="242"/>
    </row>
    <row r="42" spans="2:14" x14ac:dyDescent="0.3">
      <c r="B42" s="24"/>
      <c r="E42" s="242"/>
      <c r="F42" s="242"/>
      <c r="G42" s="242"/>
      <c r="I42" s="24"/>
      <c r="L42" s="242"/>
      <c r="M42" s="242"/>
      <c r="N42" s="242"/>
    </row>
    <row r="43" spans="2:14" x14ac:dyDescent="0.3">
      <c r="B43" s="24" t="s">
        <v>15</v>
      </c>
      <c r="C43" s="21" t="s">
        <v>16</v>
      </c>
      <c r="D43" s="21"/>
      <c r="E43" s="243" t="s">
        <v>11</v>
      </c>
      <c r="F43" s="242"/>
      <c r="G43" s="242"/>
      <c r="I43" s="24" t="s">
        <v>15</v>
      </c>
      <c r="J43" s="21" t="s">
        <v>16</v>
      </c>
      <c r="K43" s="21"/>
      <c r="L43" s="243" t="s">
        <v>11</v>
      </c>
      <c r="M43" s="242"/>
      <c r="N43" s="242"/>
    </row>
    <row r="44" spans="2:14" x14ac:dyDescent="0.3">
      <c r="B44" s="24"/>
      <c r="C44" s="31" t="s">
        <v>17</v>
      </c>
      <c r="D44" s="31"/>
      <c r="E44" s="242"/>
      <c r="F44" s="242"/>
      <c r="G44" s="242"/>
      <c r="I44" s="24"/>
      <c r="J44" s="31" t="s">
        <v>17</v>
      </c>
      <c r="K44" s="31"/>
      <c r="L44" s="242"/>
      <c r="M44" s="242"/>
      <c r="N44" s="242"/>
    </row>
    <row r="45" spans="2:14" x14ac:dyDescent="0.3">
      <c r="B45" s="24"/>
      <c r="C45" s="1" t="s">
        <v>18</v>
      </c>
      <c r="E45" s="255" t="s">
        <v>19</v>
      </c>
      <c r="F45" s="255" t="s">
        <v>411</v>
      </c>
      <c r="G45" s="242"/>
      <c r="I45" s="24"/>
      <c r="J45" s="1" t="s">
        <v>18</v>
      </c>
      <c r="L45" s="255" t="s">
        <v>19</v>
      </c>
      <c r="M45" s="255" t="s">
        <v>411</v>
      </c>
      <c r="N45" s="242"/>
    </row>
    <row r="46" spans="2:14" ht="16.5" customHeight="1" x14ac:dyDescent="0.3">
      <c r="B46" s="24"/>
      <c r="C46" s="26" t="s">
        <v>21</v>
      </c>
      <c r="D46" s="26"/>
      <c r="E46" s="254">
        <f>IF(E43="No",3624,"amount?")</f>
        <v>3624</v>
      </c>
      <c r="F46" s="256"/>
      <c r="G46" s="242"/>
      <c r="I46" s="24"/>
      <c r="J46" s="26" t="s">
        <v>21</v>
      </c>
      <c r="K46" s="26"/>
      <c r="L46" s="254">
        <f>IF(L43="No",3624,"amount?")</f>
        <v>3624</v>
      </c>
      <c r="M46" s="256"/>
      <c r="N46" s="242"/>
    </row>
    <row r="47" spans="2:14" x14ac:dyDescent="0.3">
      <c r="B47" s="24"/>
      <c r="E47" s="244"/>
      <c r="F47" s="242"/>
      <c r="G47" s="242"/>
      <c r="I47" s="24"/>
      <c r="L47" s="244"/>
      <c r="M47" s="242"/>
      <c r="N47" s="242"/>
    </row>
    <row r="48" spans="2:14" x14ac:dyDescent="0.3">
      <c r="B48" s="24" t="s">
        <v>22</v>
      </c>
      <c r="C48" s="27" t="s">
        <v>23</v>
      </c>
      <c r="D48" s="27"/>
      <c r="E48" s="243" t="s">
        <v>11</v>
      </c>
      <c r="F48" s="242"/>
      <c r="G48" s="242"/>
      <c r="I48" s="24" t="s">
        <v>22</v>
      </c>
      <c r="J48" s="27" t="s">
        <v>23</v>
      </c>
      <c r="K48" s="27"/>
      <c r="L48" s="243" t="s">
        <v>11</v>
      </c>
      <c r="M48" s="242"/>
      <c r="N48" s="242"/>
    </row>
    <row r="49" spans="2:14" x14ac:dyDescent="0.3">
      <c r="B49" s="24"/>
      <c r="C49" s="31" t="s">
        <v>24</v>
      </c>
      <c r="D49" s="31"/>
      <c r="E49" s="244"/>
      <c r="F49" s="242"/>
      <c r="G49" s="242"/>
      <c r="I49" s="24"/>
      <c r="J49" s="31" t="s">
        <v>24</v>
      </c>
      <c r="K49" s="31"/>
      <c r="L49" s="244"/>
      <c r="M49" s="242"/>
      <c r="N49" s="242"/>
    </row>
    <row r="50" spans="2:14" x14ac:dyDescent="0.3">
      <c r="B50" s="24"/>
      <c r="C50" s="1" t="s">
        <v>25</v>
      </c>
      <c r="E50" s="255" t="s">
        <v>19</v>
      </c>
      <c r="F50" s="255" t="s">
        <v>411</v>
      </c>
      <c r="G50" s="242"/>
      <c r="I50" s="24"/>
      <c r="J50" s="1" t="s">
        <v>25</v>
      </c>
      <c r="L50" s="255" t="s">
        <v>19</v>
      </c>
      <c r="M50" s="255" t="s">
        <v>411</v>
      </c>
      <c r="N50" s="242"/>
    </row>
    <row r="51" spans="2:14" ht="18.75" customHeight="1" x14ac:dyDescent="0.3">
      <c r="B51" s="24"/>
      <c r="C51" s="26" t="s">
        <v>26</v>
      </c>
      <c r="D51" s="26"/>
      <c r="E51" s="254" cm="1">
        <f t="array" ref="E51">_xlfn.IFS(AND(E43="YES",E48="YES"),"amount?",AND(E43="YES",E48="NO"),E41/F46*1000,AND(E43="NO",E48="YES"),"amount?",AND(E43="NO",E48="NO"),E41/E46*1000)</f>
        <v>1655.6291390728477</v>
      </c>
      <c r="F51" s="256"/>
      <c r="G51" s="242"/>
      <c r="I51" s="24"/>
      <c r="J51" s="26" t="s">
        <v>26</v>
      </c>
      <c r="K51" s="26"/>
      <c r="L51" s="254" cm="1">
        <f t="array" ref="L51">_xlfn.IFS(AND(L43="YES",L48="YES"),"amount?",AND(L43="YES",L48="NO"),L41/M46*1000,AND(L43="NO",L48="YES"),"amount?",AND(L43="NO",L48="NO"),L41/L46*1000)</f>
        <v>1655.6291390728477</v>
      </c>
      <c r="M51" s="256"/>
      <c r="N51" s="242"/>
    </row>
    <row r="52" spans="2:14" x14ac:dyDescent="0.3">
      <c r="E52" s="244"/>
      <c r="F52" s="242"/>
      <c r="G52" s="242"/>
      <c r="L52" s="244"/>
      <c r="M52" s="242"/>
      <c r="N52" s="242"/>
    </row>
    <row r="53" spans="2:14" ht="18" x14ac:dyDescent="0.3">
      <c r="B53" s="28" t="s">
        <v>27</v>
      </c>
      <c r="C53" s="29"/>
      <c r="D53" s="29"/>
      <c r="E53" s="253"/>
      <c r="F53" s="253"/>
      <c r="G53" s="253"/>
      <c r="I53" s="28" t="s">
        <v>27</v>
      </c>
      <c r="J53" s="29"/>
      <c r="K53" s="29"/>
      <c r="L53" s="253"/>
      <c r="M53" s="253"/>
      <c r="N53" s="253"/>
    </row>
    <row r="54" spans="2:14" ht="7.95" customHeight="1" x14ac:dyDescent="0.3">
      <c r="B54" s="24"/>
      <c r="E54" s="244"/>
      <c r="F54" s="242"/>
      <c r="G54" s="242"/>
      <c r="I54" s="24"/>
      <c r="L54" s="244"/>
      <c r="M54" s="242"/>
      <c r="N54" s="242"/>
    </row>
    <row r="55" spans="2:14" x14ac:dyDescent="0.3">
      <c r="B55" s="24" t="s">
        <v>28</v>
      </c>
      <c r="C55" s="21" t="s">
        <v>29</v>
      </c>
      <c r="D55" s="21"/>
      <c r="E55" s="244"/>
      <c r="F55" s="242"/>
      <c r="G55" s="242"/>
      <c r="I55" s="24" t="s">
        <v>28</v>
      </c>
      <c r="J55" s="21" t="s">
        <v>29</v>
      </c>
      <c r="K55" s="21"/>
      <c r="L55" s="244"/>
      <c r="M55" s="242"/>
      <c r="N55" s="242"/>
    </row>
    <row r="56" spans="2:14" x14ac:dyDescent="0.3">
      <c r="B56" s="24"/>
      <c r="C56" s="1" t="s">
        <v>3</v>
      </c>
      <c r="E56" s="244"/>
      <c r="F56" s="242"/>
      <c r="G56" s="242"/>
      <c r="I56" s="24"/>
      <c r="J56" s="1" t="s">
        <v>3</v>
      </c>
      <c r="L56" s="244"/>
      <c r="M56" s="242"/>
      <c r="N56" s="242"/>
    </row>
    <row r="57" spans="2:14" x14ac:dyDescent="0.3">
      <c r="B57" s="24"/>
      <c r="C57" s="22" t="s">
        <v>30</v>
      </c>
      <c r="D57" s="22"/>
      <c r="E57" s="257">
        <v>19</v>
      </c>
      <c r="F57" s="242"/>
      <c r="G57" s="242"/>
      <c r="I57" s="24"/>
      <c r="J57" s="22" t="s">
        <v>30</v>
      </c>
      <c r="K57" s="22"/>
      <c r="L57" s="257">
        <v>19</v>
      </c>
      <c r="M57" s="242"/>
      <c r="N57" s="242"/>
    </row>
    <row r="58" spans="2:14" x14ac:dyDescent="0.3">
      <c r="B58" s="24"/>
      <c r="C58" s="22" t="s">
        <v>31</v>
      </c>
      <c r="D58" s="22"/>
      <c r="E58" s="257">
        <v>29</v>
      </c>
      <c r="F58" s="242"/>
      <c r="G58" s="242"/>
      <c r="I58" s="24"/>
      <c r="J58" s="22" t="s">
        <v>31</v>
      </c>
      <c r="K58" s="22"/>
      <c r="L58" s="257">
        <v>29</v>
      </c>
      <c r="M58" s="242"/>
      <c r="N58" s="242"/>
    </row>
    <row r="59" spans="2:14" x14ac:dyDescent="0.3">
      <c r="B59" s="24"/>
      <c r="E59" s="244"/>
      <c r="F59" s="242"/>
      <c r="G59" s="242"/>
      <c r="I59" s="24"/>
      <c r="L59" s="244"/>
      <c r="M59" s="242"/>
      <c r="N59" s="242"/>
    </row>
    <row r="60" spans="2:14" x14ac:dyDescent="0.3">
      <c r="B60" s="24" t="s">
        <v>32</v>
      </c>
      <c r="C60" s="21" t="s">
        <v>33</v>
      </c>
      <c r="D60" s="21"/>
      <c r="E60" s="244"/>
      <c r="F60" s="242"/>
      <c r="G60" s="242"/>
      <c r="I60" s="24" t="s">
        <v>35</v>
      </c>
      <c r="J60" s="21" t="s">
        <v>36</v>
      </c>
      <c r="K60" s="21"/>
      <c r="L60" s="243" t="s">
        <v>8</v>
      </c>
      <c r="M60" s="242"/>
      <c r="N60" s="242"/>
    </row>
    <row r="61" spans="2:14" x14ac:dyDescent="0.3">
      <c r="B61" s="24"/>
      <c r="C61" s="1" t="s">
        <v>3</v>
      </c>
      <c r="E61" s="244"/>
      <c r="F61" s="242"/>
      <c r="G61" s="242"/>
      <c r="I61" s="24"/>
      <c r="J61" s="1" t="s">
        <v>37</v>
      </c>
      <c r="L61" s="242"/>
      <c r="M61" s="242"/>
      <c r="N61" s="242"/>
    </row>
    <row r="62" spans="2:14" x14ac:dyDescent="0.3">
      <c r="B62" s="24"/>
      <c r="C62" s="22" t="s">
        <v>34</v>
      </c>
      <c r="D62" s="22"/>
      <c r="E62" s="257">
        <v>85</v>
      </c>
      <c r="F62" s="242"/>
      <c r="G62" s="242"/>
      <c r="I62" s="24"/>
      <c r="J62" s="1" t="s">
        <v>25</v>
      </c>
      <c r="L62" s="262"/>
      <c r="M62" s="242"/>
      <c r="N62" s="242"/>
    </row>
    <row r="63" spans="2:14" x14ac:dyDescent="0.3">
      <c r="B63" s="24"/>
      <c r="E63" s="244"/>
      <c r="F63" s="242"/>
      <c r="G63" s="242"/>
      <c r="L63" s="244"/>
      <c r="M63" s="242"/>
      <c r="N63" s="242"/>
    </row>
    <row r="64" spans="2:14" ht="18" x14ac:dyDescent="0.3">
      <c r="B64" s="24" t="s">
        <v>35</v>
      </c>
      <c r="C64" s="21" t="s">
        <v>36</v>
      </c>
      <c r="D64" s="21"/>
      <c r="E64" s="243" t="s">
        <v>8</v>
      </c>
      <c r="F64" s="242"/>
      <c r="G64" s="242"/>
      <c r="I64" s="28" t="s">
        <v>42</v>
      </c>
      <c r="J64" s="29"/>
      <c r="K64" s="29"/>
      <c r="L64" s="253"/>
      <c r="M64" s="253"/>
      <c r="N64" s="253"/>
    </row>
    <row r="65" spans="2:14" x14ac:dyDescent="0.3">
      <c r="B65" s="24"/>
      <c r="C65" s="1" t="s">
        <v>37</v>
      </c>
      <c r="E65" s="242"/>
      <c r="F65" s="242"/>
      <c r="G65" s="242"/>
      <c r="I65" s="211"/>
      <c r="L65" s="242"/>
      <c r="M65" s="242"/>
      <c r="N65" s="242"/>
    </row>
    <row r="66" spans="2:14" ht="9" customHeight="1" x14ac:dyDescent="0.3">
      <c r="B66" s="24"/>
      <c r="C66" s="22"/>
      <c r="D66" s="22"/>
      <c r="E66" s="244"/>
      <c r="F66" s="242"/>
      <c r="G66" s="242"/>
      <c r="I66" s="24"/>
      <c r="L66" s="244"/>
      <c r="M66" s="242"/>
      <c r="N66" s="242"/>
    </row>
    <row r="67" spans="2:14" x14ac:dyDescent="0.3">
      <c r="B67" s="24" t="s">
        <v>38</v>
      </c>
      <c r="C67" s="21" t="s">
        <v>39</v>
      </c>
      <c r="D67" s="21"/>
      <c r="E67" s="257">
        <v>3.18</v>
      </c>
      <c r="F67" s="242"/>
      <c r="G67" s="242"/>
      <c r="I67" s="24" t="s">
        <v>43</v>
      </c>
      <c r="J67" s="21" t="s">
        <v>44</v>
      </c>
      <c r="K67" s="21"/>
      <c r="L67" s="244"/>
      <c r="M67" s="242"/>
      <c r="N67" s="242"/>
    </row>
    <row r="68" spans="2:14" ht="9" customHeight="1" x14ac:dyDescent="0.3">
      <c r="B68" s="24"/>
      <c r="E68" s="244"/>
      <c r="F68" s="242"/>
      <c r="G68" s="242"/>
      <c r="I68" s="24"/>
      <c r="J68" s="1" t="s">
        <v>3</v>
      </c>
      <c r="L68" s="244"/>
      <c r="M68" s="242"/>
      <c r="N68" s="242"/>
    </row>
    <row r="69" spans="2:14" x14ac:dyDescent="0.3">
      <c r="B69" s="24"/>
      <c r="C69" s="1" t="s">
        <v>40</v>
      </c>
      <c r="E69" s="244"/>
      <c r="F69" s="242"/>
      <c r="G69" s="242"/>
      <c r="I69" s="24"/>
      <c r="J69" s="22" t="s">
        <v>407</v>
      </c>
      <c r="K69" s="22"/>
      <c r="L69" s="257">
        <v>100</v>
      </c>
      <c r="M69" s="242"/>
      <c r="N69" s="242"/>
    </row>
    <row r="70" spans="2:14" x14ac:dyDescent="0.3">
      <c r="B70" s="24"/>
      <c r="C70" s="1" t="s">
        <v>41</v>
      </c>
      <c r="E70" s="244"/>
      <c r="F70" s="242"/>
      <c r="G70" s="242"/>
      <c r="L70" s="244"/>
      <c r="M70" s="242"/>
      <c r="N70" s="242"/>
    </row>
    <row r="71" spans="2:14" ht="18" x14ac:dyDescent="0.3">
      <c r="E71" s="244"/>
      <c r="F71" s="242"/>
      <c r="G71" s="242"/>
      <c r="I71" s="28" t="s">
        <v>468</v>
      </c>
      <c r="J71" s="29"/>
      <c r="K71" s="29"/>
      <c r="L71" s="253"/>
      <c r="M71" s="253"/>
      <c r="N71" s="253"/>
    </row>
    <row r="72" spans="2:14" ht="18" x14ac:dyDescent="0.3">
      <c r="B72" s="28" t="s">
        <v>42</v>
      </c>
      <c r="C72" s="29"/>
      <c r="D72" s="29"/>
      <c r="E72" s="253"/>
      <c r="F72" s="253"/>
      <c r="G72" s="253"/>
      <c r="I72" s="24"/>
      <c r="L72" s="244"/>
      <c r="M72" s="242"/>
      <c r="N72" s="242"/>
    </row>
    <row r="73" spans="2:14" ht="12.6" customHeight="1" x14ac:dyDescent="0.3">
      <c r="B73" s="24"/>
      <c r="E73" s="244"/>
      <c r="F73" s="242"/>
      <c r="G73" s="242"/>
      <c r="I73" s="24" t="s">
        <v>469</v>
      </c>
      <c r="J73" s="19" t="s">
        <v>195</v>
      </c>
      <c r="K73" s="21"/>
      <c r="L73" s="242"/>
      <c r="M73" s="242"/>
      <c r="N73" s="242"/>
    </row>
    <row r="74" spans="2:14" x14ac:dyDescent="0.3">
      <c r="B74" s="24" t="s">
        <v>43</v>
      </c>
      <c r="C74" s="21" t="s">
        <v>44</v>
      </c>
      <c r="D74" s="21"/>
      <c r="E74" s="244"/>
      <c r="F74" s="242"/>
      <c r="G74" s="242"/>
      <c r="I74" s="24"/>
      <c r="J74" s="1" t="s">
        <v>46</v>
      </c>
      <c r="L74" s="244"/>
      <c r="M74" s="255" t="s">
        <v>19</v>
      </c>
      <c r="N74" s="255" t="s">
        <v>411</v>
      </c>
    </row>
    <row r="75" spans="2:14" x14ac:dyDescent="0.3">
      <c r="B75" s="24"/>
      <c r="C75" s="1" t="s">
        <v>3</v>
      </c>
      <c r="E75" s="244"/>
      <c r="F75" s="242"/>
      <c r="G75" s="242"/>
      <c r="I75" s="24"/>
      <c r="J75" s="22" t="s">
        <v>47</v>
      </c>
      <c r="L75" s="258" t="s">
        <v>8</v>
      </c>
      <c r="M75" s="246">
        <f>IF(L75="NO","amount? ",Data!C42)</f>
        <v>79470.198675496693</v>
      </c>
      <c r="N75" s="246"/>
    </row>
    <row r="76" spans="2:14" x14ac:dyDescent="0.3">
      <c r="B76" s="24"/>
      <c r="C76" s="22" t="s">
        <v>407</v>
      </c>
      <c r="D76" s="22"/>
      <c r="E76" s="257">
        <v>100</v>
      </c>
      <c r="F76" s="242"/>
      <c r="G76" s="242"/>
      <c r="I76" s="24"/>
      <c r="J76" s="22" t="s">
        <v>48</v>
      </c>
      <c r="L76" s="258" t="s">
        <v>8</v>
      </c>
      <c r="M76" s="246">
        <f>IF(L76="NO","amount? ",Data!C44)</f>
        <v>248344.37086092716</v>
      </c>
      <c r="N76" s="246"/>
    </row>
    <row r="77" spans="2:14" x14ac:dyDescent="0.3">
      <c r="E77" s="244"/>
      <c r="F77" s="242"/>
      <c r="G77" s="242"/>
      <c r="I77" s="24"/>
      <c r="J77" s="22" t="s">
        <v>50</v>
      </c>
      <c r="L77" s="258" t="s">
        <v>8</v>
      </c>
      <c r="M77" s="246">
        <f>IF(L77="NO","amount? ",Data!C46)</f>
        <v>87665.562913907284</v>
      </c>
      <c r="N77" s="246"/>
    </row>
    <row r="78" spans="2:14" ht="18" x14ac:dyDescent="0.3">
      <c r="B78" s="28" t="s">
        <v>45</v>
      </c>
      <c r="C78" s="29"/>
      <c r="D78" s="29"/>
      <c r="E78" s="253"/>
      <c r="F78" s="253"/>
      <c r="G78" s="253"/>
      <c r="I78" s="24"/>
      <c r="J78" s="22" t="s">
        <v>51</v>
      </c>
      <c r="L78" s="258" t="s">
        <v>8</v>
      </c>
      <c r="M78" s="246">
        <f>IF(L78="NO","amount? ",Data!C47)</f>
        <v>184097.68211920527</v>
      </c>
      <c r="N78" s="246"/>
    </row>
    <row r="79" spans="2:14" ht="15" customHeight="1" x14ac:dyDescent="0.3">
      <c r="B79" s="24"/>
      <c r="E79" s="244"/>
      <c r="F79" s="242"/>
      <c r="G79" s="242"/>
      <c r="I79" s="24"/>
      <c r="L79" s="244"/>
      <c r="M79" s="242"/>
      <c r="N79" s="242"/>
    </row>
    <row r="80" spans="2:14" ht="13.8" customHeight="1" x14ac:dyDescent="0.3">
      <c r="B80" s="24"/>
      <c r="E80" s="244"/>
      <c r="F80" s="242"/>
      <c r="G80" s="242"/>
      <c r="I80" s="24" t="s">
        <v>470</v>
      </c>
      <c r="J80" s="21" t="s">
        <v>53</v>
      </c>
      <c r="K80" s="21"/>
      <c r="L80" s="243" t="s">
        <v>8</v>
      </c>
      <c r="M80" s="242"/>
      <c r="N80" s="242"/>
    </row>
    <row r="81" spans="2:14" ht="12.75" customHeight="1" x14ac:dyDescent="0.3">
      <c r="B81" s="24" t="s">
        <v>467</v>
      </c>
      <c r="C81" s="19" t="s">
        <v>195</v>
      </c>
      <c r="D81" s="21"/>
      <c r="E81" s="242"/>
      <c r="F81" s="242"/>
      <c r="G81" s="242"/>
      <c r="I81" s="24"/>
      <c r="J81" s="1" t="s">
        <v>54</v>
      </c>
      <c r="L81" s="244"/>
      <c r="M81" s="242"/>
      <c r="N81" s="242"/>
    </row>
    <row r="82" spans="2:14" x14ac:dyDescent="0.3">
      <c r="B82" s="24"/>
      <c r="C82" s="1" t="s">
        <v>46</v>
      </c>
      <c r="E82" s="244"/>
      <c r="F82" s="255" t="s">
        <v>19</v>
      </c>
      <c r="G82" s="255" t="s">
        <v>411</v>
      </c>
      <c r="I82" s="24"/>
      <c r="J82" s="22" t="s">
        <v>408</v>
      </c>
      <c r="K82" s="22"/>
      <c r="L82" s="259">
        <v>0.1</v>
      </c>
      <c r="M82" s="242"/>
      <c r="N82" s="242"/>
    </row>
    <row r="83" spans="2:14" ht="16.5" customHeight="1" x14ac:dyDescent="0.3">
      <c r="B83" s="24"/>
      <c r="C83" s="22" t="s">
        <v>47</v>
      </c>
      <c r="E83" s="258" t="s">
        <v>8</v>
      </c>
      <c r="F83" s="246">
        <f>IF(E83="NO","amount? ",Data!C42)</f>
        <v>79470.198675496693</v>
      </c>
      <c r="G83" s="246"/>
      <c r="I83" s="24"/>
      <c r="L83" s="244"/>
      <c r="M83" s="242"/>
      <c r="N83" s="242"/>
    </row>
    <row r="84" spans="2:14" x14ac:dyDescent="0.3">
      <c r="B84" s="24"/>
      <c r="C84" s="22" t="s">
        <v>410</v>
      </c>
      <c r="E84" s="258" t="s">
        <v>8</v>
      </c>
      <c r="F84" s="246">
        <f>IF(E84="NO","amount? ",Data!C43)</f>
        <v>1276490.0662251655</v>
      </c>
      <c r="G84" s="246"/>
      <c r="I84" s="24" t="s">
        <v>471</v>
      </c>
      <c r="J84" s="21" t="s">
        <v>56</v>
      </c>
      <c r="K84" s="21"/>
      <c r="L84" s="243" t="s">
        <v>11</v>
      </c>
      <c r="M84" s="242"/>
      <c r="N84" s="242"/>
    </row>
    <row r="85" spans="2:14" x14ac:dyDescent="0.3">
      <c r="B85" s="24"/>
      <c r="C85" s="22" t="s">
        <v>48</v>
      </c>
      <c r="E85" s="258" t="s">
        <v>8</v>
      </c>
      <c r="F85" s="246">
        <f>IF(E85="NO","amount? ",Data!C44)</f>
        <v>248344.37086092716</v>
      </c>
      <c r="G85" s="246"/>
      <c r="I85" s="24"/>
      <c r="J85" s="1" t="s">
        <v>54</v>
      </c>
      <c r="L85" s="244"/>
      <c r="M85" s="260" t="s">
        <v>20</v>
      </c>
      <c r="N85" s="242"/>
    </row>
    <row r="86" spans="2:14" x14ac:dyDescent="0.3">
      <c r="B86" s="24"/>
      <c r="C86" s="22" t="s">
        <v>49</v>
      </c>
      <c r="E86" s="258" t="s">
        <v>8</v>
      </c>
      <c r="F86" s="246">
        <f>IF(E86="NO","amount? ",Data!C45)</f>
        <v>149006.62251655629</v>
      </c>
      <c r="G86" s="246"/>
      <c r="I86" s="24"/>
      <c r="J86" s="22" t="s">
        <v>57</v>
      </c>
      <c r="K86" s="22"/>
      <c r="L86" s="261" t="str">
        <f>IF(L84="YES","Amount?", "0")</f>
        <v>0</v>
      </c>
      <c r="M86" s="246"/>
      <c r="N86" s="242"/>
    </row>
    <row r="87" spans="2:14" x14ac:dyDescent="0.3">
      <c r="B87" s="24"/>
      <c r="C87" s="22" t="s">
        <v>50</v>
      </c>
      <c r="E87" s="258" t="s">
        <v>8</v>
      </c>
      <c r="F87" s="246">
        <f>IF(E87="NO","amount? ",Data!C46)</f>
        <v>87665.562913907284</v>
      </c>
      <c r="G87" s="246"/>
      <c r="L87" s="244"/>
      <c r="M87" s="242"/>
      <c r="N87" s="242"/>
    </row>
    <row r="88" spans="2:14" ht="18" x14ac:dyDescent="0.3">
      <c r="B88" s="24"/>
      <c r="C88" s="22" t="s">
        <v>51</v>
      </c>
      <c r="E88" s="258" t="s">
        <v>8</v>
      </c>
      <c r="F88" s="246">
        <f>IF(E88="NO","amount? ",Data!C47)</f>
        <v>184097.68211920527</v>
      </c>
      <c r="G88" s="246"/>
      <c r="I88" s="28" t="s">
        <v>472</v>
      </c>
      <c r="J88" s="29"/>
      <c r="K88" s="29"/>
      <c r="L88" s="253"/>
      <c r="M88" s="253"/>
      <c r="N88" s="253"/>
    </row>
    <row r="89" spans="2:14" ht="13.5" customHeight="1" x14ac:dyDescent="0.3">
      <c r="B89" s="24"/>
      <c r="E89" s="244"/>
      <c r="F89" s="242"/>
      <c r="G89" s="242"/>
      <c r="I89" s="24"/>
      <c r="L89" s="244"/>
      <c r="M89" s="242"/>
      <c r="N89" s="242"/>
    </row>
    <row r="90" spans="2:14" x14ac:dyDescent="0.3">
      <c r="B90" s="24" t="s">
        <v>52</v>
      </c>
      <c r="C90" s="21" t="s">
        <v>53</v>
      </c>
      <c r="D90" s="21"/>
      <c r="E90" s="243" t="s">
        <v>8</v>
      </c>
      <c r="F90" s="242"/>
      <c r="G90" s="242"/>
      <c r="I90" s="211" t="s">
        <v>467</v>
      </c>
      <c r="J90" s="19" t="s">
        <v>432</v>
      </c>
      <c r="K90" s="21"/>
      <c r="L90" s="244"/>
      <c r="M90" s="242"/>
      <c r="N90" s="242"/>
    </row>
    <row r="91" spans="2:14" x14ac:dyDescent="0.3">
      <c r="B91" s="24"/>
      <c r="C91" s="1" t="s">
        <v>54</v>
      </c>
      <c r="E91" s="244"/>
      <c r="F91" s="242"/>
      <c r="G91" s="242"/>
      <c r="I91" s="211"/>
      <c r="J91" s="1" t="s">
        <v>433</v>
      </c>
      <c r="L91" s="244"/>
      <c r="M91" s="242"/>
      <c r="N91" s="242"/>
    </row>
    <row r="92" spans="2:14" x14ac:dyDescent="0.3">
      <c r="B92" s="24"/>
      <c r="C92" s="22" t="s">
        <v>408</v>
      </c>
      <c r="D92" s="22"/>
      <c r="E92" s="259">
        <v>0.2</v>
      </c>
      <c r="F92" s="242"/>
      <c r="G92" s="242"/>
      <c r="I92" s="211"/>
      <c r="J92" s="22" t="s">
        <v>416</v>
      </c>
      <c r="K92" s="22"/>
      <c r="L92" s="257">
        <v>0.14000000000000001</v>
      </c>
      <c r="M92" s="242"/>
      <c r="N92" s="242"/>
    </row>
    <row r="93" spans="2:14" ht="14.25" customHeight="1" x14ac:dyDescent="0.3">
      <c r="B93" s="24"/>
      <c r="E93" s="244"/>
      <c r="F93" s="242"/>
      <c r="G93" s="242"/>
      <c r="I93" s="24"/>
      <c r="J93" s="22" t="s">
        <v>422</v>
      </c>
      <c r="L93" s="257">
        <v>2</v>
      </c>
      <c r="M93" s="242"/>
      <c r="N93" s="242"/>
    </row>
    <row r="94" spans="2:14" x14ac:dyDescent="0.3">
      <c r="B94" s="24" t="s">
        <v>55</v>
      </c>
      <c r="C94" s="21" t="s">
        <v>56</v>
      </c>
      <c r="D94" s="21"/>
      <c r="E94" s="243" t="s">
        <v>8</v>
      </c>
      <c r="F94" s="242"/>
      <c r="G94" s="242"/>
      <c r="I94" s="24"/>
      <c r="L94" s="244"/>
      <c r="M94" s="242"/>
      <c r="N94" s="242"/>
    </row>
    <row r="95" spans="2:14" x14ac:dyDescent="0.3">
      <c r="B95" s="24"/>
      <c r="C95" s="1" t="s">
        <v>54</v>
      </c>
      <c r="E95" s="244"/>
      <c r="F95" s="260" t="s">
        <v>20</v>
      </c>
      <c r="G95" s="242"/>
      <c r="I95" s="24"/>
      <c r="J95" s="1" t="s">
        <v>75</v>
      </c>
      <c r="L95" s="244"/>
      <c r="M95" s="242"/>
      <c r="N95" s="242"/>
    </row>
    <row r="96" spans="2:14" x14ac:dyDescent="0.3">
      <c r="B96" s="24"/>
      <c r="C96" s="22" t="s">
        <v>57</v>
      </c>
      <c r="D96" s="22"/>
      <c r="E96" s="261" t="str">
        <f>IF(E94="YES","Amount?", "0")</f>
        <v>Amount?</v>
      </c>
      <c r="F96" s="246">
        <v>588000</v>
      </c>
      <c r="G96" s="242"/>
    </row>
    <row r="97" spans="2:7" x14ac:dyDescent="0.3">
      <c r="E97" s="244"/>
      <c r="F97" s="242"/>
      <c r="G97" s="242"/>
    </row>
    <row r="98" spans="2:7" ht="18" x14ac:dyDescent="0.3">
      <c r="B98" s="28" t="s">
        <v>58</v>
      </c>
      <c r="C98" s="29"/>
      <c r="D98" s="29"/>
      <c r="E98" s="253"/>
      <c r="F98" s="253"/>
      <c r="G98" s="253"/>
    </row>
    <row r="99" spans="2:7" ht="16.8" customHeight="1" x14ac:dyDescent="0.3">
      <c r="B99" s="24"/>
      <c r="E99" s="244"/>
      <c r="F99" s="242"/>
      <c r="G99" s="242"/>
    </row>
    <row r="100" spans="2:7" x14ac:dyDescent="0.3">
      <c r="B100" s="24" t="s">
        <v>59</v>
      </c>
      <c r="C100" s="21" t="s">
        <v>60</v>
      </c>
      <c r="D100" s="21"/>
      <c r="E100" s="244"/>
      <c r="F100" s="242"/>
      <c r="G100" s="242"/>
    </row>
    <row r="101" spans="2:7" x14ac:dyDescent="0.3">
      <c r="B101" s="24"/>
      <c r="C101" s="1" t="s">
        <v>3</v>
      </c>
      <c r="E101" s="244"/>
      <c r="F101" s="242"/>
      <c r="G101" s="242"/>
    </row>
    <row r="102" spans="2:7" x14ac:dyDescent="0.3">
      <c r="B102" s="24"/>
      <c r="C102" s="22" t="s">
        <v>61</v>
      </c>
      <c r="D102" s="22"/>
      <c r="E102" s="257">
        <v>20</v>
      </c>
      <c r="F102" s="242"/>
      <c r="G102" s="242"/>
    </row>
    <row r="103" spans="2:7" ht="15" customHeight="1" x14ac:dyDescent="0.3">
      <c r="B103" s="24"/>
      <c r="E103" s="244"/>
      <c r="F103" s="242"/>
      <c r="G103" s="242"/>
    </row>
    <row r="104" spans="2:7" x14ac:dyDescent="0.3">
      <c r="B104" s="24" t="s">
        <v>62</v>
      </c>
      <c r="C104" s="21" t="s">
        <v>63</v>
      </c>
      <c r="D104" s="21"/>
      <c r="E104" s="244"/>
      <c r="F104" s="242"/>
      <c r="G104" s="242"/>
    </row>
    <row r="105" spans="2:7" x14ac:dyDescent="0.3">
      <c r="B105" s="24"/>
      <c r="C105" s="1" t="s">
        <v>3</v>
      </c>
      <c r="E105" s="244"/>
      <c r="F105" s="242"/>
      <c r="G105" s="242"/>
    </row>
    <row r="106" spans="2:7" x14ac:dyDescent="0.3">
      <c r="B106" s="24"/>
      <c r="C106" s="22" t="s">
        <v>64</v>
      </c>
      <c r="D106" s="22"/>
      <c r="E106" s="257">
        <v>6</v>
      </c>
      <c r="F106" s="242"/>
      <c r="G106" s="242"/>
    </row>
    <row r="107" spans="2:7" ht="7.95" customHeight="1" x14ac:dyDescent="0.3">
      <c r="B107" s="24"/>
      <c r="E107" s="244"/>
      <c r="F107" s="242"/>
      <c r="G107" s="242"/>
    </row>
    <row r="108" spans="2:7" x14ac:dyDescent="0.3">
      <c r="B108" s="24" t="s">
        <v>65</v>
      </c>
      <c r="C108" s="21" t="s">
        <v>66</v>
      </c>
      <c r="D108" s="21"/>
      <c r="E108" s="244"/>
      <c r="F108" s="242"/>
      <c r="G108" s="242"/>
    </row>
    <row r="109" spans="2:7" x14ac:dyDescent="0.3">
      <c r="B109" s="24"/>
      <c r="C109" s="1" t="s">
        <v>3</v>
      </c>
      <c r="E109" s="244"/>
      <c r="F109" s="242"/>
      <c r="G109" s="242"/>
    </row>
    <row r="110" spans="2:7" x14ac:dyDescent="0.3">
      <c r="B110" s="24"/>
      <c r="C110" s="22" t="s">
        <v>67</v>
      </c>
      <c r="D110" s="22"/>
      <c r="E110" s="257">
        <v>5</v>
      </c>
      <c r="F110" s="242"/>
      <c r="G110" s="242"/>
    </row>
    <row r="111" spans="2:7" ht="8.4" customHeight="1" x14ac:dyDescent="0.3">
      <c r="B111" s="24"/>
      <c r="C111" s="22"/>
      <c r="D111" s="22"/>
      <c r="E111" s="244"/>
      <c r="F111" s="242"/>
      <c r="G111" s="242"/>
    </row>
    <row r="112" spans="2:7" x14ac:dyDescent="0.3">
      <c r="B112" s="24" t="s">
        <v>424</v>
      </c>
      <c r="C112" s="19" t="s">
        <v>455</v>
      </c>
      <c r="D112" s="21"/>
      <c r="E112" s="244"/>
      <c r="F112" s="242"/>
      <c r="G112" s="242"/>
    </row>
    <row r="113" spans="2:7" x14ac:dyDescent="0.3">
      <c r="B113" s="24"/>
      <c r="C113" s="1" t="s">
        <v>3</v>
      </c>
      <c r="E113" s="244"/>
      <c r="F113" s="242"/>
      <c r="G113" s="242"/>
    </row>
    <row r="114" spans="2:7" x14ac:dyDescent="0.3">
      <c r="B114" s="24"/>
      <c r="C114" s="22" t="s">
        <v>423</v>
      </c>
      <c r="D114" s="22"/>
      <c r="E114" s="257">
        <v>2</v>
      </c>
      <c r="F114" s="242"/>
      <c r="G114" s="242"/>
    </row>
    <row r="115" spans="2:7" x14ac:dyDescent="0.3">
      <c r="E115" s="244"/>
      <c r="F115" s="242"/>
      <c r="G115" s="242"/>
    </row>
    <row r="116" spans="2:7" ht="18" x14ac:dyDescent="0.3">
      <c r="B116" s="28" t="s">
        <v>68</v>
      </c>
      <c r="C116" s="29"/>
      <c r="D116" s="29"/>
      <c r="E116" s="253"/>
      <c r="F116" s="253"/>
      <c r="G116" s="253"/>
    </row>
    <row r="117" spans="2:7" ht="9" customHeight="1" x14ac:dyDescent="0.3">
      <c r="B117" s="24"/>
      <c r="E117" s="244"/>
      <c r="F117" s="242"/>
      <c r="G117" s="242"/>
    </row>
    <row r="118" spans="2:7" x14ac:dyDescent="0.3">
      <c r="B118" s="24" t="s">
        <v>69</v>
      </c>
      <c r="C118" s="19" t="s">
        <v>425</v>
      </c>
      <c r="D118" s="21"/>
      <c r="E118" s="244"/>
      <c r="F118" s="242"/>
      <c r="G118" s="242"/>
    </row>
    <row r="119" spans="2:7" x14ac:dyDescent="0.3">
      <c r="B119" s="24"/>
      <c r="C119" s="1" t="s">
        <v>70</v>
      </c>
      <c r="E119" s="243" t="s">
        <v>8</v>
      </c>
      <c r="F119" s="242"/>
      <c r="G119" s="242"/>
    </row>
    <row r="120" spans="2:7" x14ac:dyDescent="0.3">
      <c r="B120" s="24"/>
      <c r="C120" s="1" t="s">
        <v>71</v>
      </c>
      <c r="E120" s="243" t="s">
        <v>11</v>
      </c>
      <c r="F120" s="242"/>
      <c r="G120" s="242"/>
    </row>
    <row r="121" spans="2:7" x14ac:dyDescent="0.3">
      <c r="B121" s="24"/>
      <c r="C121" s="1" t="s">
        <v>72</v>
      </c>
      <c r="E121" s="243" t="s">
        <v>11</v>
      </c>
      <c r="F121" s="242"/>
      <c r="G121" s="242"/>
    </row>
    <row r="122" spans="2:7" ht="7.2" customHeight="1" x14ac:dyDescent="0.3">
      <c r="B122" s="24"/>
      <c r="E122" s="244"/>
      <c r="F122" s="242"/>
      <c r="G122" s="242"/>
    </row>
    <row r="123" spans="2:7" x14ac:dyDescent="0.3">
      <c r="B123" s="24"/>
      <c r="C123" s="1" t="s">
        <v>73</v>
      </c>
      <c r="E123" s="244"/>
      <c r="F123" s="242"/>
      <c r="G123" s="242"/>
    </row>
    <row r="124" spans="2:7" x14ac:dyDescent="0.3">
      <c r="B124" s="24"/>
      <c r="C124" s="22" t="s">
        <v>416</v>
      </c>
      <c r="D124" s="22"/>
      <c r="E124" s="257">
        <v>0.14000000000000001</v>
      </c>
      <c r="F124" s="242"/>
      <c r="G124" s="242"/>
    </row>
    <row r="125" spans="2:7" ht="13.2" customHeight="1" x14ac:dyDescent="0.3">
      <c r="B125" s="24"/>
      <c r="C125" s="22" t="s">
        <v>422</v>
      </c>
      <c r="E125" s="257">
        <v>2</v>
      </c>
      <c r="F125" s="242"/>
      <c r="G125" s="242"/>
    </row>
    <row r="126" spans="2:7" x14ac:dyDescent="0.3">
      <c r="B126" s="24"/>
      <c r="E126" s="244"/>
      <c r="F126" s="242"/>
      <c r="G126" s="242"/>
    </row>
    <row r="127" spans="2:7" x14ac:dyDescent="0.3">
      <c r="C127" s="1" t="s">
        <v>75</v>
      </c>
    </row>
  </sheetData>
  <sheetProtection algorithmName="SHA-512" hashValue="R8KG3Fh/PoEZyyRJf4hJKTij0B5fcQLSkOgtWqtiu8dychsmJH7gwl6HGZPdKhkDqJVSqnUAabW6IHmPuHBXiA==" saltValue="f2Rv+bBGpW9dCT+GaWl0tQ==" spinCount="100000" sheet="1" objects="1" scenarios="1"/>
  <mergeCells count="7">
    <mergeCell ref="C9:F9"/>
    <mergeCell ref="B3:E3"/>
    <mergeCell ref="B4:G4"/>
    <mergeCell ref="B6:G6"/>
    <mergeCell ref="B8:G8"/>
    <mergeCell ref="C5:F5"/>
    <mergeCell ref="C7:F7"/>
  </mergeCells>
  <pageMargins left="0.23622047244094491" right="0.23622047244094491" top="0.74803149606299213" bottom="0.74803149606299213" header="0.31496062992125984" footer="0.31496062992125984"/>
  <pageSetup paperSize="9" scale="90" orientation="landscape" r:id="rId1"/>
  <headerFooter>
    <oddHeader>&amp;LPage &amp;P of &amp;N&amp;CHeat Reuse Feasibility Calculator Input and Assumptions</oddHead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FB384E7-B8C6-485E-AE18-9F2704FE251C}">
          <x14:formula1>
            <xm:f>Data!$H$4:$H$5</xm:f>
          </x14:formula1>
          <xm:sqref>E18 E25 E83:E88 E43 E48:E49 E119:E121 E94 E90 E64 E22 E29 L43 L48:L49 L84 L80 L60 L75:L78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B1:S78"/>
  <sheetViews>
    <sheetView zoomScale="85" zoomScaleNormal="85" workbookViewId="0">
      <selection activeCell="F64" sqref="F64"/>
    </sheetView>
  </sheetViews>
  <sheetFormatPr defaultColWidth="8.88671875" defaultRowHeight="15" customHeight="1" x14ac:dyDescent="0.3"/>
  <cols>
    <col min="1" max="1" width="3.109375" style="1" customWidth="1"/>
    <col min="2" max="2" width="36.33203125" style="1" customWidth="1"/>
    <col min="3" max="3" width="10.6640625" style="1" customWidth="1"/>
    <col min="4" max="4" width="12.44140625" style="1" customWidth="1"/>
    <col min="5" max="7" width="10.6640625" style="1" customWidth="1"/>
    <col min="8" max="14" width="9.5546875" style="1" customWidth="1"/>
    <col min="15" max="15" width="11.109375" style="1" customWidth="1"/>
    <col min="16" max="18" width="9.5546875" style="1" customWidth="1"/>
    <col min="19" max="19" width="10" style="1" customWidth="1"/>
    <col min="20" max="16384" width="8.88671875" style="1"/>
  </cols>
  <sheetData>
    <row r="1" spans="2:19" ht="14.4" x14ac:dyDescent="0.3"/>
    <row r="2" spans="2:19" ht="28.5" customHeight="1" x14ac:dyDescent="0.3">
      <c r="B2" s="276" t="s">
        <v>435</v>
      </c>
      <c r="C2" s="277"/>
      <c r="D2" s="277"/>
      <c r="E2" s="277"/>
      <c r="F2" s="277"/>
      <c r="G2" s="277"/>
      <c r="H2" s="277"/>
      <c r="I2" s="277"/>
      <c r="J2" s="277"/>
      <c r="K2" s="277"/>
      <c r="L2" s="277"/>
      <c r="M2" s="277"/>
      <c r="N2" s="277"/>
      <c r="O2" s="277"/>
      <c r="P2" s="277"/>
      <c r="Q2" s="277"/>
      <c r="R2" s="277"/>
      <c r="S2" s="278"/>
    </row>
    <row r="3" spans="2:19" ht="14.4" x14ac:dyDescent="0.3"/>
    <row r="4" spans="2:19" ht="14.4" x14ac:dyDescent="0.3">
      <c r="B4" s="38" t="s">
        <v>172</v>
      </c>
      <c r="C4" s="39">
        <f>SUM(Data!C33+Data!C34+Data!C35+Data!C38+Data!C36+Data!C37+Data!C48)</f>
        <v>2430089.4039735096</v>
      </c>
      <c r="D4" s="40" t="s">
        <v>112</v>
      </c>
    </row>
    <row r="5" spans="2:19" ht="14.4" x14ac:dyDescent="0.3">
      <c r="B5" s="24" t="s">
        <v>173</v>
      </c>
      <c r="C5" s="35">
        <f>Data!C55</f>
        <v>588000</v>
      </c>
      <c r="D5" s="41" t="s">
        <v>112</v>
      </c>
    </row>
    <row r="6" spans="2:19" ht="14.4" x14ac:dyDescent="0.3">
      <c r="B6" s="42" t="s">
        <v>174</v>
      </c>
      <c r="C6" s="43">
        <f>C4-C5</f>
        <v>1842089.4039735096</v>
      </c>
      <c r="D6" s="44" t="s">
        <v>112</v>
      </c>
    </row>
    <row r="7" spans="2:19" ht="14.4" x14ac:dyDescent="0.3">
      <c r="C7" s="20"/>
    </row>
    <row r="8" spans="2:19" ht="14.4" x14ac:dyDescent="0.3">
      <c r="B8" s="38" t="s">
        <v>175</v>
      </c>
      <c r="C8" s="39">
        <f>C6* Data!C60</f>
        <v>160601.74859718268</v>
      </c>
      <c r="D8" s="40" t="s">
        <v>176</v>
      </c>
    </row>
    <row r="9" spans="2:19" ht="14.4" x14ac:dyDescent="0.3">
      <c r="B9" s="45" t="s">
        <v>177</v>
      </c>
      <c r="C9" s="20">
        <f>(Data!C51*'Results-P&amp;L'!C4)/100</f>
        <v>72902.682119205288</v>
      </c>
      <c r="D9" s="41" t="s">
        <v>176</v>
      </c>
      <c r="H9" s="9"/>
    </row>
    <row r="10" spans="2:19" ht="15" customHeight="1" x14ac:dyDescent="0.3">
      <c r="B10" s="42" t="s">
        <v>178</v>
      </c>
      <c r="C10" s="43">
        <f>Calculations!C12 * Data!C52+Calculations!C15*Data!C52</f>
        <v>285952.19435736677</v>
      </c>
      <c r="D10" s="44" t="s">
        <v>176</v>
      </c>
    </row>
    <row r="11" spans="2:19" ht="14.4" x14ac:dyDescent="0.3"/>
    <row r="12" spans="2:19" ht="14.4" x14ac:dyDescent="0.3">
      <c r="B12" s="33" t="s">
        <v>179</v>
      </c>
      <c r="C12" s="46">
        <f>Calculations!C17*Data!C52</f>
        <v>25095.151551027317</v>
      </c>
      <c r="D12" s="47" t="s">
        <v>176</v>
      </c>
    </row>
    <row r="13" spans="2:19" ht="14.4" x14ac:dyDescent="0.3"/>
    <row r="14" spans="2:19" ht="14.4" x14ac:dyDescent="0.3">
      <c r="B14" s="33" t="s">
        <v>180</v>
      </c>
      <c r="C14" s="48">
        <f>Inputs!E102</f>
        <v>20</v>
      </c>
      <c r="D14" s="47" t="s">
        <v>181</v>
      </c>
    </row>
    <row r="15" spans="2:19" ht="14.4" x14ac:dyDescent="0.3"/>
    <row r="16" spans="2:19" ht="14.4" x14ac:dyDescent="0.3">
      <c r="B16" s="33" t="s">
        <v>453</v>
      </c>
      <c r="C16" s="225">
        <f>(Data!C28+(Calculations!C15/1000)+(Calculations!C12/1000)-(Calculations!C17/1000))/Data!C29</f>
        <v>1.3225520211493416</v>
      </c>
      <c r="D16" s="226"/>
      <c r="E16" s="1" t="s">
        <v>474</v>
      </c>
    </row>
    <row r="17" spans="2:19" thickBot="1" x14ac:dyDescent="0.35"/>
    <row r="18" spans="2:19" ht="14.4" x14ac:dyDescent="0.3">
      <c r="B18" s="49" t="s">
        <v>182</v>
      </c>
      <c r="C18" s="50">
        <f>IFERROR(C8 + C9 + C10-C12,0)</f>
        <v>494361.47352272744</v>
      </c>
      <c r="D18" s="51" t="s">
        <v>176</v>
      </c>
    </row>
    <row r="19" spans="2:19" ht="14.4" x14ac:dyDescent="0.3">
      <c r="B19" s="52" t="s">
        <v>183</v>
      </c>
      <c r="C19" s="37">
        <f>Data!C9</f>
        <v>5558.07</v>
      </c>
      <c r="D19" s="53" t="s">
        <v>184</v>
      </c>
    </row>
    <row r="20" spans="2:19" ht="14.4" x14ac:dyDescent="0.3">
      <c r="B20" s="54" t="s">
        <v>185</v>
      </c>
      <c r="C20" s="185">
        <f>IFERROR(IF(SeasonalFactor!D17&gt;0, C18 /C19, "---"),"---")</f>
        <v>88.944808813621904</v>
      </c>
      <c r="D20" s="55" t="s">
        <v>186</v>
      </c>
    </row>
    <row r="21" spans="2:19" thickBot="1" x14ac:dyDescent="0.35"/>
    <row r="22" spans="2:19" ht="28.2" customHeight="1" thickBot="1" x14ac:dyDescent="0.35">
      <c r="B22" s="279" t="s">
        <v>436</v>
      </c>
      <c r="C22" s="280"/>
      <c r="D22" s="280"/>
      <c r="E22" s="280"/>
      <c r="F22" s="280"/>
      <c r="G22" s="280"/>
      <c r="H22" s="280"/>
      <c r="I22" s="280"/>
      <c r="J22" s="280"/>
      <c r="K22" s="280"/>
      <c r="L22" s="280"/>
      <c r="M22" s="280"/>
      <c r="N22" s="280"/>
      <c r="O22" s="280"/>
      <c r="P22" s="280"/>
      <c r="Q22" s="280"/>
      <c r="R22" s="280"/>
      <c r="S22" s="281"/>
    </row>
    <row r="23" spans="2:19" thickBot="1" x14ac:dyDescent="0.35"/>
    <row r="24" spans="2:19" thickBot="1" x14ac:dyDescent="0.35">
      <c r="B24" s="36" t="s">
        <v>187</v>
      </c>
      <c r="C24" s="216">
        <f>Inputs!F27</f>
        <v>95</v>
      </c>
    </row>
    <row r="25" spans="2:19" thickBot="1" x14ac:dyDescent="0.35"/>
    <row r="26" spans="2:19" thickBot="1" x14ac:dyDescent="0.35">
      <c r="B26" s="49" t="s">
        <v>188</v>
      </c>
      <c r="C26" s="49">
        <v>0</v>
      </c>
      <c r="D26" s="64">
        <v>1</v>
      </c>
      <c r="E26" s="5">
        <v>2</v>
      </c>
      <c r="F26" s="5">
        <v>3</v>
      </c>
      <c r="G26" s="5">
        <v>4</v>
      </c>
      <c r="H26" s="5">
        <v>5</v>
      </c>
      <c r="I26" s="5">
        <v>6</v>
      </c>
      <c r="J26" s="5">
        <v>7</v>
      </c>
      <c r="K26" s="5">
        <v>8</v>
      </c>
      <c r="L26" s="5">
        <v>9</v>
      </c>
      <c r="M26" s="5">
        <v>10</v>
      </c>
      <c r="N26" s="6">
        <v>15</v>
      </c>
      <c r="O26" s="6">
        <v>16</v>
      </c>
      <c r="P26" s="6">
        <v>17</v>
      </c>
      <c r="Q26" s="6">
        <v>18</v>
      </c>
      <c r="R26" s="6">
        <v>19</v>
      </c>
      <c r="S26" s="6">
        <v>20</v>
      </c>
    </row>
    <row r="27" spans="2:19" ht="14.4" x14ac:dyDescent="0.3">
      <c r="B27" s="56" t="s">
        <v>189</v>
      </c>
      <c r="C27" s="61"/>
      <c r="D27" s="203">
        <f>$C$8</f>
        <v>160601.74859718268</v>
      </c>
      <c r="E27" s="204">
        <f t="shared" ref="E27:S27" si="0">$C$8</f>
        <v>160601.74859718268</v>
      </c>
      <c r="F27" s="204">
        <f t="shared" si="0"/>
        <v>160601.74859718268</v>
      </c>
      <c r="G27" s="204">
        <f t="shared" si="0"/>
        <v>160601.74859718268</v>
      </c>
      <c r="H27" s="204">
        <f t="shared" si="0"/>
        <v>160601.74859718268</v>
      </c>
      <c r="I27" s="204">
        <f t="shared" si="0"/>
        <v>160601.74859718268</v>
      </c>
      <c r="J27" s="204">
        <f t="shared" si="0"/>
        <v>160601.74859718268</v>
      </c>
      <c r="K27" s="204">
        <f t="shared" si="0"/>
        <v>160601.74859718268</v>
      </c>
      <c r="L27" s="204">
        <f t="shared" si="0"/>
        <v>160601.74859718268</v>
      </c>
      <c r="M27" s="204">
        <f t="shared" si="0"/>
        <v>160601.74859718268</v>
      </c>
      <c r="N27" s="204">
        <f t="shared" si="0"/>
        <v>160601.74859718268</v>
      </c>
      <c r="O27" s="204">
        <f t="shared" si="0"/>
        <v>160601.74859718268</v>
      </c>
      <c r="P27" s="204">
        <f t="shared" si="0"/>
        <v>160601.74859718268</v>
      </c>
      <c r="Q27" s="204">
        <f t="shared" si="0"/>
        <v>160601.74859718268</v>
      </c>
      <c r="R27" s="204">
        <f t="shared" si="0"/>
        <v>160601.74859718268</v>
      </c>
      <c r="S27" s="205">
        <f t="shared" si="0"/>
        <v>160601.74859718268</v>
      </c>
    </row>
    <row r="28" spans="2:19" ht="14.4" x14ac:dyDescent="0.3">
      <c r="B28" s="57" t="s">
        <v>122</v>
      </c>
      <c r="C28" s="61"/>
      <c r="D28" s="206">
        <f>$C$9</f>
        <v>72902.682119205288</v>
      </c>
      <c r="E28" s="202">
        <f t="shared" ref="E28:S28" si="1">$C$9</f>
        <v>72902.682119205288</v>
      </c>
      <c r="F28" s="202">
        <f t="shared" si="1"/>
        <v>72902.682119205288</v>
      </c>
      <c r="G28" s="202">
        <f t="shared" si="1"/>
        <v>72902.682119205288</v>
      </c>
      <c r="H28" s="202">
        <f t="shared" si="1"/>
        <v>72902.682119205288</v>
      </c>
      <c r="I28" s="202">
        <f t="shared" si="1"/>
        <v>72902.682119205288</v>
      </c>
      <c r="J28" s="202">
        <f t="shared" si="1"/>
        <v>72902.682119205288</v>
      </c>
      <c r="K28" s="202">
        <f t="shared" si="1"/>
        <v>72902.682119205288</v>
      </c>
      <c r="L28" s="202">
        <f t="shared" si="1"/>
        <v>72902.682119205288</v>
      </c>
      <c r="M28" s="202">
        <f t="shared" si="1"/>
        <v>72902.682119205288</v>
      </c>
      <c r="N28" s="202">
        <f t="shared" si="1"/>
        <v>72902.682119205288</v>
      </c>
      <c r="O28" s="202">
        <f t="shared" si="1"/>
        <v>72902.682119205288</v>
      </c>
      <c r="P28" s="202">
        <f t="shared" si="1"/>
        <v>72902.682119205288</v>
      </c>
      <c r="Q28" s="202">
        <f t="shared" si="1"/>
        <v>72902.682119205288</v>
      </c>
      <c r="R28" s="202">
        <f t="shared" si="1"/>
        <v>72902.682119205288</v>
      </c>
      <c r="S28" s="4">
        <f t="shared" si="1"/>
        <v>72902.682119205288</v>
      </c>
    </row>
    <row r="29" spans="2:19" ht="14.4" x14ac:dyDescent="0.3">
      <c r="B29" s="57" t="s">
        <v>190</v>
      </c>
      <c r="C29" s="61"/>
      <c r="D29" s="206">
        <f>Calculations!$C$12*Calculations!D25+Calculations!$C$15*Calculations!D25</f>
        <v>291671.23824451416</v>
      </c>
      <c r="E29" s="202">
        <f>Calculations!$C$12*Calculations!E25+Calculations!$C$15*Calculations!E25</f>
        <v>297504.66300940438</v>
      </c>
      <c r="F29" s="202">
        <f>Calculations!$C$12*Calculations!F25+Calculations!$C$15*Calculations!F25</f>
        <v>303454.75626959244</v>
      </c>
      <c r="G29" s="202">
        <f>Calculations!$C$12*Calculations!G25+Calculations!$C$15*Calculations!G25</f>
        <v>309523.85139498435</v>
      </c>
      <c r="H29" s="202">
        <f>Calculations!$C$12*Calculations!H25+Calculations!$C$15*Calculations!H25</f>
        <v>315714.32842288399</v>
      </c>
      <c r="I29" s="202">
        <f>Calculations!$C$12*Calculations!I25+Calculations!$C$15*Calculations!I25</f>
        <v>322028.61499134166</v>
      </c>
      <c r="J29" s="202">
        <f>Calculations!$C$12*Calculations!J25+Calculations!$C$15*Calculations!J25</f>
        <v>328469.18729116849</v>
      </c>
      <c r="K29" s="202">
        <f>Calculations!$C$12*Calculations!K25+Calculations!$C$15*Calculations!K25</f>
        <v>335038.5710369919</v>
      </c>
      <c r="L29" s="202">
        <f>Calculations!$C$12*Calculations!L25+Calculations!$C$15*Calculations!L25</f>
        <v>341739.34245773172</v>
      </c>
      <c r="M29" s="202">
        <f>Calculations!$C$12*Calculations!M25+Calculations!$C$15*Calculations!M25</f>
        <v>348574.12930688635</v>
      </c>
      <c r="N29" s="202">
        <f>Calculations!$C$12*Calculations!N25+Calculations!$C$15*Calculations!N25</f>
        <v>355545.61189302406</v>
      </c>
      <c r="O29" s="202">
        <f>Calculations!$C$12*Calculations!O25+Calculations!$C$15*Calculations!O25</f>
        <v>362656.52413088456</v>
      </c>
      <c r="P29" s="202">
        <f>Calculations!$C$12*Calculations!P25+Calculations!$C$15*Calculations!P25</f>
        <v>369909.65461350227</v>
      </c>
      <c r="Q29" s="202">
        <f>Calculations!$C$12*Calculations!Q25+Calculations!$C$15*Calculations!Q25</f>
        <v>377307.84770577226</v>
      </c>
      <c r="R29" s="202">
        <f>Calculations!$C$12*Calculations!R25+Calculations!$C$15*Calculations!R25</f>
        <v>384854.00465988775</v>
      </c>
      <c r="S29" s="4">
        <f>Calculations!$C$12*Calculations!S25+Calculations!$C$15*Calculations!S25</f>
        <v>392551.08475308551</v>
      </c>
    </row>
    <row r="30" spans="2:19" ht="14.4" x14ac:dyDescent="0.3">
      <c r="B30" s="57" t="s">
        <v>153</v>
      </c>
      <c r="C30" s="62"/>
      <c r="D30" s="206">
        <f>-Data!$C$16*Calculations!D25*Data!$C$10</f>
        <v>-24840.345600000001</v>
      </c>
      <c r="E30" s="206">
        <f>-Data!$C$16*Calculations!E25*Data!$C$10</f>
        <v>-25337.152512000001</v>
      </c>
      <c r="F30" s="206">
        <f>-Data!$C$16*Calculations!F25*Data!$C$10</f>
        <v>-25843.895562239999</v>
      </c>
      <c r="G30" s="206">
        <f>-Data!$C$16*Calculations!G25*Data!$C$10</f>
        <v>-26360.773473484798</v>
      </c>
      <c r="H30" s="206">
        <f>-Data!$C$16*Calculations!H25*Data!$C$10</f>
        <v>-26887.988942954493</v>
      </c>
      <c r="I30" s="206">
        <f>-Data!$C$16*Calculations!I25*Data!$C$10</f>
        <v>-27425.748721813583</v>
      </c>
      <c r="J30" s="206">
        <f>-Data!$C$16*Calculations!J25*Data!$C$10</f>
        <v>-27974.263696249858</v>
      </c>
      <c r="K30" s="206">
        <f>-Data!$C$16*Calculations!K25*Data!$C$10</f>
        <v>-28533.748970174853</v>
      </c>
      <c r="L30" s="206">
        <f>-Data!$C$16*Calculations!L25*Data!$C$10</f>
        <v>-29104.423949578351</v>
      </c>
      <c r="M30" s="206">
        <f>-Data!$C$16*Calculations!M25*Data!$C$10</f>
        <v>-29686.51242856992</v>
      </c>
      <c r="N30" s="206">
        <f>-Data!$C$16*Calculations!N25*Data!$C$10</f>
        <v>-30280.242677141316</v>
      </c>
      <c r="O30" s="206">
        <f>-Data!$C$16*Calculations!O25*Data!$C$10</f>
        <v>-30885.847530684143</v>
      </c>
      <c r="P30" s="206">
        <f>-Data!$C$16*Calculations!P25*Data!$C$10</f>
        <v>-31503.564481297824</v>
      </c>
      <c r="Q30" s="206">
        <f>-Data!$C$16*Calculations!Q25*Data!$C$10</f>
        <v>-32133.635770923778</v>
      </c>
      <c r="R30" s="206">
        <f>-Data!$C$16*Calculations!R25*Data!$C$10</f>
        <v>-32776.308486342255</v>
      </c>
      <c r="S30" s="206">
        <f>-Data!$C$16*Calculations!S25*Data!$C$10</f>
        <v>-33431.834656069099</v>
      </c>
    </row>
    <row r="31" spans="2:19" ht="14.4" x14ac:dyDescent="0.3">
      <c r="B31" s="58" t="s">
        <v>191</v>
      </c>
      <c r="C31" s="62"/>
      <c r="D31" s="206">
        <f>-(D27+D28+D29+D30)</f>
        <v>-500335.32336090214</v>
      </c>
      <c r="E31" s="202">
        <f t="shared" ref="E31:S31" si="2">-(E27+E28+E29+E30)</f>
        <v>-505671.94121379236</v>
      </c>
      <c r="F31" s="202">
        <f t="shared" si="2"/>
        <v>-511115.29142374051</v>
      </c>
      <c r="G31" s="202">
        <f t="shared" si="2"/>
        <v>-516667.50863788754</v>
      </c>
      <c r="H31" s="202">
        <f t="shared" si="2"/>
        <v>-522330.7701963174</v>
      </c>
      <c r="I31" s="202">
        <f t="shared" si="2"/>
        <v>-528107.29698591609</v>
      </c>
      <c r="J31" s="202">
        <f t="shared" si="2"/>
        <v>-533999.35431130673</v>
      </c>
      <c r="K31" s="202">
        <f t="shared" si="2"/>
        <v>-540009.25278320501</v>
      </c>
      <c r="L31" s="202">
        <f t="shared" si="2"/>
        <v>-546139.34922454134</v>
      </c>
      <c r="M31" s="202">
        <f t="shared" si="2"/>
        <v>-552392.04759470432</v>
      </c>
      <c r="N31" s="202">
        <f t="shared" si="2"/>
        <v>-558769.79993227066</v>
      </c>
      <c r="O31" s="202">
        <f t="shared" si="2"/>
        <v>-565275.10731658828</v>
      </c>
      <c r="P31" s="202">
        <f t="shared" si="2"/>
        <v>-571910.52084859239</v>
      </c>
      <c r="Q31" s="202">
        <f t="shared" si="2"/>
        <v>-578678.6426512365</v>
      </c>
      <c r="R31" s="202">
        <f t="shared" si="2"/>
        <v>-585582.1268899336</v>
      </c>
      <c r="S31" s="4">
        <f t="shared" si="2"/>
        <v>-592623.6808134045</v>
      </c>
    </row>
    <row r="32" spans="2:19" ht="14.4" x14ac:dyDescent="0.3">
      <c r="B32" s="57" t="s">
        <v>192</v>
      </c>
      <c r="C32" s="62"/>
      <c r="D32" s="206">
        <f>$C$19*$C$24</f>
        <v>528016.65</v>
      </c>
      <c r="E32" s="202">
        <f>$C$19*Calculations!D22</f>
        <v>538576.98300000001</v>
      </c>
      <c r="F32" s="202">
        <f>$C$19*Calculations!E22</f>
        <v>549348.52266000002</v>
      </c>
      <c r="G32" s="202">
        <f>$C$19*Calculations!F22</f>
        <v>560335.49311320006</v>
      </c>
      <c r="H32" s="202">
        <f>$C$19*Calculations!G22</f>
        <v>571542.20297546405</v>
      </c>
      <c r="I32" s="202">
        <f>$C$19*Calculations!H22</f>
        <v>582973.04703497328</v>
      </c>
      <c r="J32" s="202">
        <f>$C$19*Calculations!I22</f>
        <v>594632.50797567272</v>
      </c>
      <c r="K32" s="202">
        <f>$C$19*Calculations!J22</f>
        <v>606525.15813518618</v>
      </c>
      <c r="L32" s="202">
        <f>$C$19*Calculations!K22</f>
        <v>618655.66129788989</v>
      </c>
      <c r="M32" s="202">
        <f>$C$19*Calculations!L22</f>
        <v>631028.77452384774</v>
      </c>
      <c r="N32" s="202">
        <f>$C$19*Calculations!M22</f>
        <v>643649.35001432465</v>
      </c>
      <c r="O32" s="202">
        <f>$C$19*Calculations!N22</f>
        <v>656522.33701461111</v>
      </c>
      <c r="P32" s="202">
        <f>$C$19*Calculations!O22</f>
        <v>669652.78375490336</v>
      </c>
      <c r="Q32" s="202">
        <f>$C$19*Calculations!P22</f>
        <v>683045.83943000145</v>
      </c>
      <c r="R32" s="202">
        <f>$C$19*Calculations!Q22</f>
        <v>696706.75621860148</v>
      </c>
      <c r="S32" s="202">
        <f>$C$19*Calculations!R22</f>
        <v>710640.89134297345</v>
      </c>
    </row>
    <row r="33" spans="2:19" ht="14.4" x14ac:dyDescent="0.3">
      <c r="B33" s="59" t="s">
        <v>193</v>
      </c>
      <c r="C33" s="62"/>
      <c r="D33" s="206">
        <f>D32+D31</f>
        <v>27681.326639097882</v>
      </c>
      <c r="E33" s="202">
        <f t="shared" ref="E33:N33" si="3">E32+E31</f>
        <v>32905.041786207643</v>
      </c>
      <c r="F33" s="202">
        <f t="shared" si="3"/>
        <v>38233.231236259511</v>
      </c>
      <c r="G33" s="202">
        <f t="shared" si="3"/>
        <v>43667.984475312522</v>
      </c>
      <c r="H33" s="202">
        <f t="shared" si="3"/>
        <v>49211.432779146649</v>
      </c>
      <c r="I33" s="202">
        <f t="shared" si="3"/>
        <v>54865.750049057184</v>
      </c>
      <c r="J33" s="202">
        <f t="shared" si="3"/>
        <v>60633.153664365993</v>
      </c>
      <c r="K33" s="202">
        <f t="shared" si="3"/>
        <v>66515.905351981171</v>
      </c>
      <c r="L33" s="202">
        <f t="shared" si="3"/>
        <v>72516.312073348556</v>
      </c>
      <c r="M33" s="202">
        <f t="shared" si="3"/>
        <v>78636.72692914342</v>
      </c>
      <c r="N33" s="202">
        <f t="shared" si="3"/>
        <v>84879.550082053989</v>
      </c>
      <c r="O33" s="202">
        <f>O32+O31</f>
        <v>91247.229698022828</v>
      </c>
      <c r="P33" s="202">
        <f>P32+P31</f>
        <v>97742.262906310963</v>
      </c>
      <c r="Q33" s="202">
        <f>Q32+Q31</f>
        <v>104367.19677876495</v>
      </c>
      <c r="R33" s="202">
        <f>R32+R31</f>
        <v>111124.62932866788</v>
      </c>
      <c r="S33" s="4">
        <f>S32+S31</f>
        <v>118017.21052956895</v>
      </c>
    </row>
    <row r="34" spans="2:19" thickBot="1" x14ac:dyDescent="0.35">
      <c r="B34" s="60" t="s">
        <v>194</v>
      </c>
      <c r="C34" s="63"/>
      <c r="D34" s="207">
        <f>$C$27+D31+D32</f>
        <v>27681.326639097882</v>
      </c>
      <c r="E34" s="208">
        <f t="shared" ref="E34:M34" si="4">D34+E31+E32</f>
        <v>60586.368425305525</v>
      </c>
      <c r="F34" s="208">
        <f t="shared" si="4"/>
        <v>98819.599661565037</v>
      </c>
      <c r="G34" s="208">
        <f t="shared" si="4"/>
        <v>142487.58413687756</v>
      </c>
      <c r="H34" s="208">
        <f t="shared" si="4"/>
        <v>191699.01691602421</v>
      </c>
      <c r="I34" s="208">
        <f t="shared" si="4"/>
        <v>246564.76696508139</v>
      </c>
      <c r="J34" s="208">
        <f t="shared" si="4"/>
        <v>307197.92062944738</v>
      </c>
      <c r="K34" s="208">
        <f t="shared" si="4"/>
        <v>373713.82598142856</v>
      </c>
      <c r="L34" s="208">
        <f t="shared" si="4"/>
        <v>446230.13805477711</v>
      </c>
      <c r="M34" s="208">
        <f t="shared" si="4"/>
        <v>524866.86498392047</v>
      </c>
      <c r="N34" s="208">
        <f t="shared" ref="N34:S34" si="5">M34+N31+N32</f>
        <v>609746.41506597446</v>
      </c>
      <c r="O34" s="208">
        <f t="shared" si="5"/>
        <v>700993.64476399729</v>
      </c>
      <c r="P34" s="208">
        <f t="shared" si="5"/>
        <v>798735.90767030825</v>
      </c>
      <c r="Q34" s="208">
        <f t="shared" si="5"/>
        <v>903103.1044490732</v>
      </c>
      <c r="R34" s="208">
        <f t="shared" si="5"/>
        <v>1014227.7337777411</v>
      </c>
      <c r="S34" s="209">
        <f t="shared" si="5"/>
        <v>1132244.94430731</v>
      </c>
    </row>
    <row r="35" spans="2:19" ht="14.4" x14ac:dyDescent="0.3">
      <c r="O35" s="20"/>
    </row>
    <row r="36" spans="2:19" ht="14.4" x14ac:dyDescent="0.3">
      <c r="O36" s="20"/>
    </row>
    <row r="37" spans="2:19" ht="14.4" x14ac:dyDescent="0.3">
      <c r="O37" s="20"/>
    </row>
    <row r="38" spans="2:19" ht="14.4" x14ac:dyDescent="0.3">
      <c r="O38" s="20"/>
    </row>
    <row r="39" spans="2:19" ht="14.4" x14ac:dyDescent="0.3">
      <c r="O39" s="20"/>
    </row>
    <row r="40" spans="2:19" ht="14.4" x14ac:dyDescent="0.3">
      <c r="O40" s="20"/>
    </row>
    <row r="41" spans="2:19" ht="14.4" x14ac:dyDescent="0.3">
      <c r="O41" s="20"/>
    </row>
    <row r="42" spans="2:19" ht="14.4" x14ac:dyDescent="0.3"/>
    <row r="43" spans="2:19" ht="14.4" x14ac:dyDescent="0.3"/>
    <row r="44" spans="2:19" ht="14.4" x14ac:dyDescent="0.3"/>
    <row r="45" spans="2:19" ht="14.4" x14ac:dyDescent="0.3"/>
    <row r="46" spans="2:19" ht="14.4" x14ac:dyDescent="0.3"/>
    <row r="47" spans="2:19" ht="14.4" x14ac:dyDescent="0.3"/>
    <row r="48" spans="2:19" ht="14.4" x14ac:dyDescent="0.3"/>
    <row r="49" spans="2:19" ht="14.4" x14ac:dyDescent="0.3"/>
    <row r="50" spans="2:19" ht="14.4" x14ac:dyDescent="0.3"/>
    <row r="51" spans="2:19" ht="14.4" x14ac:dyDescent="0.3"/>
    <row r="52" spans="2:19" ht="14.4" x14ac:dyDescent="0.3"/>
    <row r="53" spans="2:19" thickBot="1" x14ac:dyDescent="0.35"/>
    <row r="54" spans="2:19" ht="28.5" customHeight="1" thickBot="1" x14ac:dyDescent="0.35">
      <c r="B54" s="276" t="s">
        <v>434</v>
      </c>
      <c r="C54" s="277"/>
      <c r="D54" s="277"/>
      <c r="E54" s="277"/>
      <c r="F54" s="277"/>
      <c r="G54" s="277"/>
      <c r="H54" s="277"/>
      <c r="I54" s="277"/>
      <c r="J54" s="277"/>
      <c r="K54" s="277"/>
      <c r="L54" s="277"/>
      <c r="M54" s="277"/>
      <c r="N54" s="277"/>
      <c r="O54" s="277"/>
      <c r="P54" s="277"/>
      <c r="Q54" s="277"/>
      <c r="R54" s="277"/>
      <c r="S54" s="278"/>
    </row>
    <row r="55" spans="2:19" ht="14.4" x14ac:dyDescent="0.3"/>
    <row r="56" spans="2:19" ht="14.4" x14ac:dyDescent="0.3">
      <c r="B56" s="38" t="s">
        <v>172</v>
      </c>
      <c r="C56" s="39">
        <f>SUM(Data!C33+Data!C35+Data!C37+Data!C38)</f>
        <v>599577.81456953636</v>
      </c>
      <c r="D56" s="40" t="s">
        <v>112</v>
      </c>
    </row>
    <row r="57" spans="2:19" ht="14.4" x14ac:dyDescent="0.3">
      <c r="B57" s="24" t="s">
        <v>173</v>
      </c>
      <c r="C57" s="35">
        <f>Data!C73</f>
        <v>0</v>
      </c>
      <c r="D57" s="41" t="s">
        <v>112</v>
      </c>
    </row>
    <row r="58" spans="2:19" ht="14.4" x14ac:dyDescent="0.3">
      <c r="B58" s="42" t="s">
        <v>174</v>
      </c>
      <c r="C58" s="43">
        <f>C56-C57</f>
        <v>599577.81456953636</v>
      </c>
      <c r="D58" s="44" t="s">
        <v>112</v>
      </c>
    </row>
    <row r="59" spans="2:19" ht="14.4" x14ac:dyDescent="0.3">
      <c r="C59" s="20"/>
    </row>
    <row r="60" spans="2:19" ht="14.4" x14ac:dyDescent="0.3">
      <c r="B60" s="38" t="s">
        <v>175</v>
      </c>
      <c r="C60" s="39">
        <f>C58* Data!C60</f>
        <v>52273.926136393784</v>
      </c>
      <c r="D60" s="40" t="s">
        <v>176</v>
      </c>
    </row>
    <row r="61" spans="2:19" ht="14.4" x14ac:dyDescent="0.3">
      <c r="B61" s="45" t="s">
        <v>177</v>
      </c>
      <c r="C61" s="20">
        <f>Data!C51/100*'Results-P&amp;L'!C56</f>
        <v>17987.33443708609</v>
      </c>
      <c r="D61" s="41" t="s">
        <v>176</v>
      </c>
      <c r="H61" s="9"/>
    </row>
    <row r="62" spans="2:19" ht="15" customHeight="1" x14ac:dyDescent="0.3">
      <c r="B62" s="42" t="s">
        <v>178</v>
      </c>
      <c r="C62" s="43">
        <f>Calculations!C11*Data!C10*Data!C52</f>
        <v>22629.310344827594</v>
      </c>
      <c r="D62" s="44" t="s">
        <v>176</v>
      </c>
    </row>
    <row r="63" spans="2:19" ht="14.4" x14ac:dyDescent="0.3"/>
    <row r="64" spans="2:19" ht="14.4" x14ac:dyDescent="0.3">
      <c r="B64" s="33" t="s">
        <v>179</v>
      </c>
      <c r="C64" s="46">
        <f>Calculations!C17*Data!C52</f>
        <v>25095.151551027317</v>
      </c>
      <c r="D64" s="47" t="s">
        <v>176</v>
      </c>
    </row>
    <row r="65" spans="2:5" ht="14.4" x14ac:dyDescent="0.3"/>
    <row r="66" spans="2:5" ht="14.4" x14ac:dyDescent="0.3">
      <c r="B66" s="33" t="s">
        <v>180</v>
      </c>
      <c r="C66" s="48">
        <f>Data!C58</f>
        <v>20</v>
      </c>
      <c r="D66" s="47" t="s">
        <v>181</v>
      </c>
    </row>
    <row r="67" spans="2:5" ht="14.4" x14ac:dyDescent="0.3"/>
    <row r="68" spans="2:5" ht="14.4" x14ac:dyDescent="0.3">
      <c r="B68" s="33" t="s">
        <v>453</v>
      </c>
      <c r="C68" s="225">
        <f>(Data!C28-(Calculations!C17/1000))/Data!C29</f>
        <v>1.3072957044927747</v>
      </c>
      <c r="D68" s="226">
        <f>(C68-Data!C30)</f>
        <v>-1.3388936548202057E-3</v>
      </c>
      <c r="E68" s="1" t="s">
        <v>475</v>
      </c>
    </row>
    <row r="69" spans="2:5" thickBot="1" x14ac:dyDescent="0.35">
      <c r="C69" s="228"/>
      <c r="D69" s="229"/>
    </row>
    <row r="70" spans="2:5" ht="14.4" x14ac:dyDescent="0.3">
      <c r="B70" s="49" t="s">
        <v>182</v>
      </c>
      <c r="C70" s="50">
        <f>IFERROR(C60 + C61 + C62-C64,0)</f>
        <v>67795.419367280148</v>
      </c>
      <c r="D70" s="51" t="s">
        <v>176</v>
      </c>
    </row>
    <row r="71" spans="2:5" ht="14.4" x14ac:dyDescent="0.3">
      <c r="B71" s="52" t="s">
        <v>183</v>
      </c>
      <c r="C71" s="37">
        <f>Data!C9</f>
        <v>5558.07</v>
      </c>
      <c r="D71" s="53" t="s">
        <v>184</v>
      </c>
    </row>
    <row r="72" spans="2:5" thickBot="1" x14ac:dyDescent="0.35">
      <c r="B72" s="54" t="s">
        <v>185</v>
      </c>
      <c r="C72" s="185">
        <f>IFERROR(IF(SeasonalFactor!D17&gt;0, C70 /C71, "---"),"---")</f>
        <v>12.197654827535485</v>
      </c>
      <c r="D72" s="55" t="s">
        <v>186</v>
      </c>
    </row>
    <row r="73" spans="2:5" ht="14.4" x14ac:dyDescent="0.3"/>
    <row r="74" spans="2:5" ht="14.4" x14ac:dyDescent="0.3"/>
    <row r="75" spans="2:5" ht="14.4" x14ac:dyDescent="0.3"/>
    <row r="76" spans="2:5" ht="14.4" x14ac:dyDescent="0.3"/>
    <row r="77" spans="2:5" ht="14.4" x14ac:dyDescent="0.3"/>
    <row r="78" spans="2:5" ht="14.4" x14ac:dyDescent="0.3"/>
  </sheetData>
  <sheetProtection algorithmName="SHA-512" hashValue="09J3Rs6XFKcbjXB8S3UCE9iN1rWmIK3Tpex0rVLTdzTYtDcBgdYixeub4ovUY/rjzEz5jhrlC1YK2yOKuEpo4g==" saltValue="8S0hGNFX8kWM+xEjUWAqXA==" spinCount="100000" sheet="1" objects="1" scenarios="1"/>
  <mergeCells count="3">
    <mergeCell ref="B2:S2"/>
    <mergeCell ref="B22:S22"/>
    <mergeCell ref="B54:S54"/>
  </mergeCells>
  <conditionalFormatting sqref="C34:S34">
    <cfRule type="cellIs" dxfId="3" priority="3" operator="greaterThan">
      <formula>0</formula>
    </cfRule>
    <cfRule type="cellIs" dxfId="2" priority="4" operator="lessThan">
      <formula>0</formula>
    </cfRule>
  </conditionalFormatting>
  <conditionalFormatting sqref="D33:S33">
    <cfRule type="cellIs" dxfId="1" priority="1" operator="greaterThan">
      <formula>0</formula>
    </cfRule>
    <cfRule type="cellIs" dxfId="0" priority="2" operator="lessThan">
      <formula>0</formula>
    </cfRule>
  </conditionalFormatting>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D8F84-8D47-4497-8CCE-25480393DCEC}">
  <sheetPr>
    <tabColor theme="5"/>
  </sheetPr>
  <dimension ref="B1:D14"/>
  <sheetViews>
    <sheetView workbookViewId="0">
      <selection activeCell="B5" sqref="B5"/>
    </sheetView>
  </sheetViews>
  <sheetFormatPr defaultRowHeight="14.4" x14ac:dyDescent="0.3"/>
  <cols>
    <col min="1" max="1" width="4.77734375" style="1" customWidth="1"/>
    <col min="2" max="2" width="40.6640625" style="1" customWidth="1"/>
    <col min="3" max="3" width="15.6640625" style="1" customWidth="1"/>
    <col min="4" max="4" width="10.6640625" style="1" customWidth="1"/>
    <col min="5" max="16384" width="8.88671875" style="1"/>
  </cols>
  <sheetData>
    <row r="1" spans="2:4" ht="15" thickBot="1" x14ac:dyDescent="0.35"/>
    <row r="2" spans="2:4" ht="21.6" thickBot="1" x14ac:dyDescent="0.45">
      <c r="B2" s="282" t="s">
        <v>464</v>
      </c>
      <c r="C2" s="283"/>
      <c r="D2" s="284"/>
    </row>
    <row r="4" spans="2:4" x14ac:dyDescent="0.3">
      <c r="B4" s="95" t="s">
        <v>445</v>
      </c>
      <c r="C4" s="87"/>
      <c r="D4" s="87"/>
    </row>
    <row r="5" spans="2:4" x14ac:dyDescent="0.3">
      <c r="B5" s="236" t="s">
        <v>465</v>
      </c>
      <c r="C5" s="237">
        <f>Data!C28</f>
        <v>175200</v>
      </c>
      <c r="D5" s="236" t="s">
        <v>80</v>
      </c>
    </row>
    <row r="6" spans="2:4" x14ac:dyDescent="0.3">
      <c r="B6" s="236" t="s">
        <v>448</v>
      </c>
      <c r="C6" s="237">
        <f>Data!C29</f>
        <v>133880</v>
      </c>
      <c r="D6" s="236" t="s">
        <v>446</v>
      </c>
    </row>
    <row r="8" spans="2:4" x14ac:dyDescent="0.3">
      <c r="B8" s="236" t="s">
        <v>452</v>
      </c>
      <c r="C8" s="238">
        <f>C5/C6</f>
        <v>1.3086345981475949</v>
      </c>
      <c r="D8" s="1" t="s">
        <v>473</v>
      </c>
    </row>
    <row r="10" spans="2:4" x14ac:dyDescent="0.3">
      <c r="B10" s="19" t="s">
        <v>466</v>
      </c>
    </row>
    <row r="11" spans="2:4" x14ac:dyDescent="0.3">
      <c r="B11" s="236" t="s">
        <v>452</v>
      </c>
      <c r="C11" s="238">
        <f>'Results-P&amp;L'!C16</f>
        <v>1.3225520211493416</v>
      </c>
      <c r="D11" s="1" t="s">
        <v>474</v>
      </c>
    </row>
    <row r="13" spans="2:4" x14ac:dyDescent="0.3">
      <c r="B13" s="19" t="s">
        <v>441</v>
      </c>
    </row>
    <row r="14" spans="2:4" x14ac:dyDescent="0.3">
      <c r="B14" s="236" t="s">
        <v>452</v>
      </c>
      <c r="C14" s="238">
        <f>'Results-P&amp;L'!C68</f>
        <v>1.3072957044927747</v>
      </c>
      <c r="D14" s="1" t="s">
        <v>475</v>
      </c>
    </row>
  </sheetData>
  <sheetProtection algorithmName="SHA-512" hashValue="7WVIgjWcqyiMVpN4i02Wv4QLoPZTkdqPTtTyBfFXpNDF79Wk97L8yJyRVwxGP8JA7oZg3M9Typj6fQYMRZOTqw==" saltValue="dP3YtnkZ45URb2kGMDnqJw==" spinCount="100000" sheet="1" objects="1" scenarios="1"/>
  <mergeCells count="1">
    <mergeCell ref="B2:D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34998626667073579"/>
  </sheetPr>
  <dimension ref="B1:H62"/>
  <sheetViews>
    <sheetView zoomScale="90" zoomScaleNormal="90" workbookViewId="0">
      <selection activeCell="A17" sqref="A17:XFD24"/>
    </sheetView>
  </sheetViews>
  <sheetFormatPr defaultColWidth="8.88671875" defaultRowHeight="15" customHeight="1" outlineLevelRow="1" x14ac:dyDescent="0.3"/>
  <cols>
    <col min="1" max="1" width="4.33203125" style="87" customWidth="1"/>
    <col min="2" max="2" width="68.44140625" style="87" customWidth="1"/>
    <col min="3" max="3" width="26" style="87" customWidth="1"/>
    <col min="4" max="4" width="16.33203125" style="87" customWidth="1"/>
    <col min="5" max="5" width="3.88671875" style="87" customWidth="1"/>
    <col min="6" max="6" width="74.77734375" style="87" customWidth="1"/>
    <col min="7" max="7" width="9" style="87" customWidth="1"/>
    <col min="8" max="12" width="20" style="87" customWidth="1"/>
    <col min="13" max="16384" width="8.88671875" style="87"/>
  </cols>
  <sheetData>
    <row r="1" spans="2:8" ht="14.4" x14ac:dyDescent="0.3"/>
    <row r="2" spans="2:8" ht="14.4" x14ac:dyDescent="0.3">
      <c r="B2" s="155" t="s">
        <v>76</v>
      </c>
      <c r="C2" s="156" t="s">
        <v>77</v>
      </c>
      <c r="D2" s="157" t="s">
        <v>78</v>
      </c>
      <c r="E2" s="157"/>
      <c r="F2" s="157" t="s">
        <v>334</v>
      </c>
    </row>
    <row r="3" spans="2:8" thickBot="1" x14ac:dyDescent="0.35">
      <c r="B3" s="158"/>
      <c r="C3" s="264"/>
      <c r="H3" s="87" t="s">
        <v>415</v>
      </c>
    </row>
    <row r="4" spans="2:8" ht="14.4" x14ac:dyDescent="0.3">
      <c r="B4" s="88" t="s">
        <v>4</v>
      </c>
      <c r="C4" s="89" t="str">
        <f>Inputs!E15</f>
        <v>PAR18</v>
      </c>
      <c r="D4" s="90"/>
      <c r="E4" s="90"/>
      <c r="F4" s="90"/>
      <c r="H4" s="193" t="s">
        <v>8</v>
      </c>
    </row>
    <row r="5" spans="2:8" thickBot="1" x14ac:dyDescent="0.35">
      <c r="B5" s="91" t="s">
        <v>6</v>
      </c>
      <c r="C5" s="92">
        <f>Inputs!E16</f>
        <v>45961</v>
      </c>
      <c r="D5" s="93"/>
      <c r="E5" s="93"/>
      <c r="F5" s="93"/>
      <c r="H5" s="194" t="s">
        <v>11</v>
      </c>
    </row>
    <row r="6" spans="2:8" ht="14.4" x14ac:dyDescent="0.3">
      <c r="C6" s="94"/>
    </row>
    <row r="7" spans="2:8" ht="14.4" x14ac:dyDescent="0.3">
      <c r="B7" s="95" t="s">
        <v>196</v>
      </c>
    </row>
    <row r="8" spans="2:8" ht="14.4" x14ac:dyDescent="0.3">
      <c r="B8" s="96" t="s">
        <v>79</v>
      </c>
      <c r="C8" s="97">
        <f>Inputs!E41</f>
        <v>6000</v>
      </c>
      <c r="D8" s="98" t="s">
        <v>80</v>
      </c>
      <c r="E8" s="99"/>
      <c r="F8" s="90"/>
    </row>
    <row r="9" spans="2:8" ht="14.4" x14ac:dyDescent="0.3">
      <c r="B9" s="100" t="s">
        <v>81</v>
      </c>
      <c r="C9" s="101">
        <f>C8 * Data!$C$18 * Data!$C$19 * (1 - Data!$C$17/100)</f>
        <v>5558.07</v>
      </c>
      <c r="D9" s="102" t="s">
        <v>80</v>
      </c>
      <c r="E9" s="103"/>
      <c r="F9" s="104"/>
    </row>
    <row r="10" spans="2:8" ht="14.4" x14ac:dyDescent="0.3">
      <c r="B10" s="105" t="s">
        <v>21</v>
      </c>
      <c r="C10" s="106">
        <f>SUM(SeasonalFactor!E3:E14)</f>
        <v>3624</v>
      </c>
      <c r="D10" s="107" t="s">
        <v>82</v>
      </c>
      <c r="E10" s="103"/>
      <c r="F10" s="104"/>
    </row>
    <row r="11" spans="2:8" ht="14.4" x14ac:dyDescent="0.3">
      <c r="B11" s="105" t="s">
        <v>83</v>
      </c>
      <c r="C11" s="106">
        <f>IF(Inputs!E48="YES",Inputs!F51,Inputs!E51)</f>
        <v>1655.6291390728477</v>
      </c>
      <c r="D11" s="107" t="s">
        <v>84</v>
      </c>
      <c r="E11" s="103"/>
      <c r="F11" s="104"/>
    </row>
    <row r="12" spans="2:8" ht="14.4" x14ac:dyDescent="0.3">
      <c r="B12" s="105" t="s">
        <v>199</v>
      </c>
      <c r="C12" s="108">
        <v>29</v>
      </c>
      <c r="D12" s="107" t="s">
        <v>85</v>
      </c>
      <c r="E12" s="109"/>
      <c r="F12" s="110"/>
    </row>
    <row r="13" spans="2:8" ht="14.4" x14ac:dyDescent="0.3">
      <c r="B13" s="105" t="s">
        <v>198</v>
      </c>
      <c r="C13" s="108">
        <v>19</v>
      </c>
      <c r="D13" s="107" t="s">
        <v>85</v>
      </c>
      <c r="E13" s="109"/>
      <c r="F13" s="110"/>
    </row>
    <row r="14" spans="2:8" ht="14.4" x14ac:dyDescent="0.3">
      <c r="B14" s="105" t="s">
        <v>34</v>
      </c>
      <c r="C14" s="108">
        <f>Inputs!E62</f>
        <v>85</v>
      </c>
      <c r="D14" s="107" t="s">
        <v>85</v>
      </c>
      <c r="E14" s="109"/>
      <c r="F14" s="110"/>
    </row>
    <row r="15" spans="2:8" ht="15" customHeight="1" x14ac:dyDescent="0.3">
      <c r="B15" s="111" t="s">
        <v>86</v>
      </c>
      <c r="C15" s="108">
        <f>Inputs!E76</f>
        <v>100</v>
      </c>
      <c r="D15" s="107" t="s">
        <v>87</v>
      </c>
      <c r="E15" s="109"/>
      <c r="F15" s="110" t="s">
        <v>88</v>
      </c>
    </row>
    <row r="16" spans="2:8" ht="14.4" x14ac:dyDescent="0.3">
      <c r="B16" s="105" t="s">
        <v>89</v>
      </c>
      <c r="C16" s="108">
        <v>48</v>
      </c>
      <c r="D16" s="107" t="s">
        <v>84</v>
      </c>
      <c r="E16" s="109"/>
      <c r="F16" s="110" t="s">
        <v>90</v>
      </c>
    </row>
    <row r="17" spans="2:6" ht="14.4" hidden="1" outlineLevel="1" x14ac:dyDescent="0.3">
      <c r="B17" s="186" t="s">
        <v>91</v>
      </c>
      <c r="C17" s="187">
        <v>0.5</v>
      </c>
      <c r="D17" s="188" t="s">
        <v>92</v>
      </c>
      <c r="E17" s="189"/>
      <c r="F17" s="190"/>
    </row>
    <row r="18" spans="2:6" ht="14.4" hidden="1" outlineLevel="1" x14ac:dyDescent="0.3">
      <c r="B18" s="186" t="s">
        <v>93</v>
      </c>
      <c r="C18" s="187">
        <v>0.95</v>
      </c>
      <c r="D18" s="188" t="s">
        <v>94</v>
      </c>
      <c r="E18" s="189"/>
      <c r="F18" s="190" t="s">
        <v>95</v>
      </c>
    </row>
    <row r="19" spans="2:6" ht="14.4" hidden="1" outlineLevel="1" x14ac:dyDescent="0.3">
      <c r="B19" s="186" t="s">
        <v>96</v>
      </c>
      <c r="C19" s="187">
        <v>0.98</v>
      </c>
      <c r="D19" s="188" t="s">
        <v>94</v>
      </c>
      <c r="E19" s="189"/>
      <c r="F19" s="190" t="s">
        <v>95</v>
      </c>
    </row>
    <row r="20" spans="2:6" ht="14.4" hidden="1" outlineLevel="1" x14ac:dyDescent="0.3">
      <c r="B20" s="186" t="s">
        <v>97</v>
      </c>
      <c r="C20" s="187">
        <v>5</v>
      </c>
      <c r="D20" s="188" t="s">
        <v>98</v>
      </c>
      <c r="E20" s="189"/>
      <c r="F20" s="190" t="s">
        <v>99</v>
      </c>
    </row>
    <row r="21" spans="2:6" ht="14.4" hidden="1" outlineLevel="1" x14ac:dyDescent="0.3">
      <c r="B21" s="186" t="s">
        <v>100</v>
      </c>
      <c r="C21" s="187">
        <v>1.5</v>
      </c>
      <c r="D21" s="188" t="s">
        <v>101</v>
      </c>
      <c r="E21" s="189"/>
      <c r="F21" s="190"/>
    </row>
    <row r="22" spans="2:6" ht="14.4" hidden="1" outlineLevel="1" x14ac:dyDescent="0.3">
      <c r="B22" s="186" t="s">
        <v>102</v>
      </c>
      <c r="C22" s="191">
        <v>1000</v>
      </c>
      <c r="D22" s="188"/>
      <c r="E22" s="189"/>
      <c r="F22" s="190"/>
    </row>
    <row r="23" spans="2:6" ht="14.4" hidden="1" outlineLevel="1" x14ac:dyDescent="0.3">
      <c r="B23" s="186" t="s">
        <v>103</v>
      </c>
      <c r="C23" s="192">
        <v>1.1599999999999999</v>
      </c>
      <c r="D23" s="188"/>
      <c r="E23" s="189"/>
      <c r="F23" s="190"/>
    </row>
    <row r="24" spans="2:6" ht="14.4" hidden="1" outlineLevel="1" x14ac:dyDescent="0.3">
      <c r="B24" s="186" t="s">
        <v>104</v>
      </c>
      <c r="C24" s="187">
        <v>5</v>
      </c>
      <c r="D24" s="188" t="s">
        <v>105</v>
      </c>
      <c r="E24" s="189"/>
      <c r="F24" s="190"/>
    </row>
    <row r="25" spans="2:6" collapsed="1" thickBot="1" x14ac:dyDescent="0.35">
      <c r="B25" s="112" t="s">
        <v>106</v>
      </c>
      <c r="C25" s="113">
        <v>3.19</v>
      </c>
      <c r="D25" s="114" t="s">
        <v>107</v>
      </c>
      <c r="E25" s="115"/>
      <c r="F25" s="93" t="s">
        <v>200</v>
      </c>
    </row>
    <row r="26" spans="2:6" ht="14.4" x14ac:dyDescent="0.3"/>
    <row r="27" spans="2:6" thickBot="1" x14ac:dyDescent="0.35">
      <c r="B27" s="95" t="s">
        <v>445</v>
      </c>
    </row>
    <row r="28" spans="2:6" ht="14.4" x14ac:dyDescent="0.3">
      <c r="B28" s="88" t="s">
        <v>447</v>
      </c>
      <c r="C28" s="222">
        <f>Inputs!E33</f>
        <v>175200</v>
      </c>
      <c r="D28" s="90" t="s">
        <v>80</v>
      </c>
      <c r="E28" s="90"/>
      <c r="F28" s="223"/>
    </row>
    <row r="29" spans="2:6" ht="14.4" x14ac:dyDescent="0.3">
      <c r="B29" s="224" t="s">
        <v>448</v>
      </c>
      <c r="C29" s="121">
        <f>Inputs!E35</f>
        <v>133880</v>
      </c>
      <c r="D29" s="110" t="s">
        <v>446</v>
      </c>
      <c r="E29" s="110"/>
      <c r="F29" s="110"/>
    </row>
    <row r="30" spans="2:6" thickBot="1" x14ac:dyDescent="0.35">
      <c r="B30" s="91" t="s">
        <v>452</v>
      </c>
      <c r="C30" s="227">
        <f>C28/C29</f>
        <v>1.3086345981475949</v>
      </c>
      <c r="D30" s="93"/>
      <c r="E30" s="93"/>
      <c r="F30" s="93"/>
    </row>
    <row r="31" spans="2:6" ht="14.4" x14ac:dyDescent="0.3"/>
    <row r="32" spans="2:6" ht="15.75" customHeight="1" thickBot="1" x14ac:dyDescent="0.35">
      <c r="B32" s="95" t="s">
        <v>108</v>
      </c>
    </row>
    <row r="33" spans="2:6" ht="14.4" x14ac:dyDescent="0.3">
      <c r="B33" s="116" t="s">
        <v>109</v>
      </c>
      <c r="C33" s="117">
        <f>IF(Inputs!E83="YES",Inputs!F83,Inputs!G83)</f>
        <v>79470.198675496693</v>
      </c>
      <c r="D33" s="118" t="s">
        <v>110</v>
      </c>
      <c r="E33" s="118"/>
      <c r="F33" s="119"/>
    </row>
    <row r="34" spans="2:6" ht="15.75" customHeight="1" x14ac:dyDescent="0.3">
      <c r="B34" s="120" t="s">
        <v>111</v>
      </c>
      <c r="C34" s="121">
        <f>Inputs!F84</f>
        <v>1276490.0662251655</v>
      </c>
      <c r="D34" s="110" t="s">
        <v>112</v>
      </c>
      <c r="E34" s="110"/>
      <c r="F34" s="122"/>
    </row>
    <row r="35" spans="2:6" ht="14.4" x14ac:dyDescent="0.3">
      <c r="B35" s="120" t="s">
        <v>113</v>
      </c>
      <c r="C35" s="121">
        <f>Inputs!F85</f>
        <v>248344.37086092716</v>
      </c>
      <c r="D35" s="110" t="s">
        <v>112</v>
      </c>
      <c r="E35" s="110"/>
      <c r="F35" s="123"/>
    </row>
    <row r="36" spans="2:6" ht="14.4" x14ac:dyDescent="0.3">
      <c r="B36" s="120" t="s">
        <v>114</v>
      </c>
      <c r="C36" s="121">
        <f>Inputs!F86</f>
        <v>149006.62251655629</v>
      </c>
      <c r="D36" s="110" t="s">
        <v>112</v>
      </c>
      <c r="E36" s="110"/>
      <c r="F36" s="122"/>
    </row>
    <row r="37" spans="2:6" ht="14.4" x14ac:dyDescent="0.3">
      <c r="B37" s="120" t="s">
        <v>115</v>
      </c>
      <c r="C37" s="121">
        <f>Inputs!F88</f>
        <v>184097.68211920527</v>
      </c>
      <c r="D37" s="110" t="s">
        <v>112</v>
      </c>
      <c r="E37" s="110"/>
      <c r="F37" s="122"/>
    </row>
    <row r="38" spans="2:6" ht="14.4" x14ac:dyDescent="0.3">
      <c r="B38" s="124" t="s">
        <v>116</v>
      </c>
      <c r="C38" s="125">
        <f>Inputs!F87</f>
        <v>87665.562913907284</v>
      </c>
      <c r="D38" s="126" t="s">
        <v>112</v>
      </c>
      <c r="E38" s="126"/>
      <c r="F38" s="127"/>
    </row>
    <row r="39" spans="2:6" ht="14.4" x14ac:dyDescent="0.3"/>
    <row r="40" spans="2:6" ht="14.4" x14ac:dyDescent="0.3"/>
    <row r="41" spans="2:6" ht="14.4" x14ac:dyDescent="0.3">
      <c r="B41" s="95" t="s">
        <v>117</v>
      </c>
    </row>
    <row r="42" spans="2:6" ht="14.4" x14ac:dyDescent="0.3">
      <c r="B42" s="96" t="s">
        <v>109</v>
      </c>
      <c r="C42" s="128">
        <f>48*C11</f>
        <v>79470.198675496693</v>
      </c>
      <c r="D42" s="129" t="s">
        <v>110</v>
      </c>
      <c r="E42" s="130"/>
      <c r="F42" s="131" t="s">
        <v>413</v>
      </c>
    </row>
    <row r="43" spans="2:6" ht="14.4" x14ac:dyDescent="0.3">
      <c r="B43" s="105" t="s">
        <v>111</v>
      </c>
      <c r="C43" s="132">
        <f>771*C11</f>
        <v>1276490.0662251655</v>
      </c>
      <c r="D43" s="133" t="s">
        <v>112</v>
      </c>
      <c r="E43" s="134"/>
      <c r="F43" s="136" t="s">
        <v>412</v>
      </c>
    </row>
    <row r="44" spans="2:6" ht="15" customHeight="1" x14ac:dyDescent="0.3">
      <c r="B44" s="105" t="s">
        <v>113</v>
      </c>
      <c r="C44" s="132">
        <f>150*C11</f>
        <v>248344.37086092716</v>
      </c>
      <c r="D44" s="133" t="s">
        <v>112</v>
      </c>
      <c r="E44" s="134"/>
      <c r="F44" s="136" t="s">
        <v>118</v>
      </c>
    </row>
    <row r="45" spans="2:6" ht="14.4" x14ac:dyDescent="0.3">
      <c r="B45" s="105" t="s">
        <v>114</v>
      </c>
      <c r="C45" s="132">
        <f>90*C11</f>
        <v>149006.62251655629</v>
      </c>
      <c r="D45" s="133" t="s">
        <v>112</v>
      </c>
      <c r="E45" s="134"/>
      <c r="F45" s="135" t="s">
        <v>414</v>
      </c>
    </row>
    <row r="46" spans="2:6" ht="14.4" x14ac:dyDescent="0.3">
      <c r="B46" s="105" t="s">
        <v>115</v>
      </c>
      <c r="C46" s="132">
        <f>5%*SUM(C42:C45)</f>
        <v>87665.562913907284</v>
      </c>
      <c r="D46" s="133" t="s">
        <v>112</v>
      </c>
      <c r="E46" s="134"/>
      <c r="F46" s="135" t="s">
        <v>119</v>
      </c>
    </row>
    <row r="47" spans="2:6" ht="14.4" x14ac:dyDescent="0.3">
      <c r="B47" s="105" t="s">
        <v>116</v>
      </c>
      <c r="C47" s="132">
        <f>10%*SUM(C42:C46)</f>
        <v>184097.68211920527</v>
      </c>
      <c r="D47" s="133" t="s">
        <v>112</v>
      </c>
      <c r="E47" s="134"/>
      <c r="F47" s="135" t="s">
        <v>120</v>
      </c>
    </row>
    <row r="48" spans="2:6" ht="15" customHeight="1" thickBot="1" x14ac:dyDescent="0.35">
      <c r="B48" s="112" t="s">
        <v>121</v>
      </c>
      <c r="C48" s="137">
        <f>Inputs!E92*SUM(C42:C47)</f>
        <v>405014.90066225163</v>
      </c>
      <c r="D48" s="138" t="s">
        <v>112</v>
      </c>
      <c r="E48" s="139"/>
      <c r="F48" s="140" t="s">
        <v>409</v>
      </c>
    </row>
    <row r="49" spans="2:6" ht="15" customHeight="1" x14ac:dyDescent="0.3">
      <c r="C49" s="141"/>
    </row>
    <row r="50" spans="2:6" ht="15" customHeight="1" thickBot="1" x14ac:dyDescent="0.35">
      <c r="B50" s="95" t="s">
        <v>122</v>
      </c>
    </row>
    <row r="51" spans="2:6" ht="14.4" x14ac:dyDescent="0.3">
      <c r="B51" s="116" t="s">
        <v>67</v>
      </c>
      <c r="C51" s="142">
        <v>3</v>
      </c>
      <c r="D51" s="118" t="s">
        <v>123</v>
      </c>
      <c r="E51" s="118"/>
      <c r="F51" s="143"/>
    </row>
    <row r="52" spans="2:6" thickBot="1" x14ac:dyDescent="0.35">
      <c r="B52" s="124" t="s">
        <v>74</v>
      </c>
      <c r="C52" s="144">
        <f>Inputs!E124</f>
        <v>0.14000000000000001</v>
      </c>
      <c r="D52" s="126" t="s">
        <v>124</v>
      </c>
      <c r="E52" s="126"/>
      <c r="F52" s="127"/>
    </row>
    <row r="53" spans="2:6" ht="14.4" x14ac:dyDescent="0.3"/>
    <row r="54" spans="2:6" ht="15" customHeight="1" thickBot="1" x14ac:dyDescent="0.35">
      <c r="B54" s="95" t="s">
        <v>125</v>
      </c>
      <c r="C54" s="141"/>
    </row>
    <row r="55" spans="2:6" ht="15" customHeight="1" x14ac:dyDescent="0.3">
      <c r="B55" s="145" t="s">
        <v>126</v>
      </c>
      <c r="C55" s="146">
        <f>IF(Inputs!E94="YES",Inputs!F96,"0")</f>
        <v>588000</v>
      </c>
      <c r="D55" s="147" t="s">
        <v>112</v>
      </c>
      <c r="E55" s="147"/>
      <c r="F55" s="148"/>
    </row>
    <row r="57" spans="2:6" ht="15" customHeight="1" x14ac:dyDescent="0.3">
      <c r="B57" s="95" t="s">
        <v>197</v>
      </c>
    </row>
    <row r="58" spans="2:6" ht="15" customHeight="1" x14ac:dyDescent="0.3">
      <c r="B58" s="96" t="s">
        <v>61</v>
      </c>
      <c r="C58" s="149">
        <f>Inputs!E102</f>
        <v>20</v>
      </c>
      <c r="D58" s="129" t="s">
        <v>127</v>
      </c>
      <c r="E58" s="150"/>
      <c r="F58" s="151"/>
    </row>
    <row r="59" spans="2:6" ht="15" customHeight="1" x14ac:dyDescent="0.3">
      <c r="B59" s="105" t="s">
        <v>64</v>
      </c>
      <c r="C59" s="108">
        <f>Inputs!E106</f>
        <v>6</v>
      </c>
      <c r="D59" s="133" t="s">
        <v>123</v>
      </c>
      <c r="E59" s="135"/>
      <c r="F59" s="152"/>
    </row>
    <row r="60" spans="2:6" ht="15" customHeight="1" thickBot="1" x14ac:dyDescent="0.35">
      <c r="B60" s="112" t="s">
        <v>128</v>
      </c>
      <c r="C60" s="153">
        <f>IF(AND(C59&lt;&gt;0,C58&lt;&gt;0), (C59/100)/(1-(1+(C59/100))^(-C58)), 0)</f>
        <v>8.7184556976851402E-2</v>
      </c>
      <c r="D60" s="138"/>
      <c r="E60" s="140"/>
      <c r="F60" s="154"/>
    </row>
    <row r="61" spans="2:6" ht="15" customHeight="1" thickBot="1" x14ac:dyDescent="0.35">
      <c r="B61" s="112" t="s">
        <v>419</v>
      </c>
      <c r="C61" s="201">
        <f>Inputs!E114/100</f>
        <v>0.02</v>
      </c>
      <c r="D61" s="138"/>
      <c r="E61" s="140"/>
      <c r="F61" s="154"/>
    </row>
    <row r="62" spans="2:6" ht="15" customHeight="1" thickBot="1" x14ac:dyDescent="0.35">
      <c r="B62" s="112" t="s">
        <v>418</v>
      </c>
      <c r="C62" s="201">
        <f>Inputs!E125/100</f>
        <v>0.02</v>
      </c>
      <c r="D62" s="138"/>
      <c r="E62" s="140"/>
      <c r="F62" s="154"/>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249977111117893"/>
  </sheetPr>
  <dimension ref="B1:AA17"/>
  <sheetViews>
    <sheetView workbookViewId="0">
      <selection activeCell="G6" sqref="G6"/>
    </sheetView>
  </sheetViews>
  <sheetFormatPr defaultColWidth="8.88671875" defaultRowHeight="14.4" x14ac:dyDescent="0.3"/>
  <cols>
    <col min="1" max="1" width="3.6640625" style="1" customWidth="1"/>
    <col min="2" max="6" width="11.88671875" style="1" customWidth="1"/>
    <col min="7" max="8" width="22.44140625" style="1" customWidth="1"/>
    <col min="9" max="9" width="19.33203125" style="1" customWidth="1"/>
    <col min="10" max="12" width="20" style="1" customWidth="1"/>
    <col min="13" max="16384" width="8.88671875" style="1"/>
  </cols>
  <sheetData>
    <row r="1" spans="2:27" ht="15" thickBot="1" x14ac:dyDescent="0.35"/>
    <row r="2" spans="2:27" s="17" customFormat="1" ht="63" thickBot="1" x14ac:dyDescent="0.35">
      <c r="B2" s="14" t="s">
        <v>129</v>
      </c>
      <c r="C2" s="15" t="s">
        <v>204</v>
      </c>
      <c r="D2" s="15" t="s">
        <v>130</v>
      </c>
      <c r="E2" s="15" t="s">
        <v>442</v>
      </c>
      <c r="F2" s="15" t="s">
        <v>443</v>
      </c>
      <c r="G2" s="15" t="s">
        <v>131</v>
      </c>
      <c r="H2" s="15" t="s">
        <v>132</v>
      </c>
      <c r="I2" s="16" t="s">
        <v>81</v>
      </c>
    </row>
    <row r="3" spans="2:27" x14ac:dyDescent="0.3">
      <c r="B3" s="267" t="s">
        <v>133</v>
      </c>
      <c r="C3" s="195">
        <v>744</v>
      </c>
      <c r="D3" s="268">
        <v>1</v>
      </c>
      <c r="E3" s="195">
        <f>Inputs!$E$46/5</f>
        <v>724.8</v>
      </c>
      <c r="F3" s="195"/>
      <c r="G3" s="195">
        <f>MIN(Data!$C$11,Data!$C$11 * D3)</f>
        <v>1655.6291390728477</v>
      </c>
      <c r="H3" s="204">
        <f>Data!$C$8 * E3 / 1000</f>
        <v>4348.8</v>
      </c>
      <c r="I3" s="205">
        <f>H3 * Data!$C$18 * Data!$C$19 * (1 - Data!$C$17/100)</f>
        <v>4028.4891359999997</v>
      </c>
      <c r="AA3" s="1" t="s">
        <v>134</v>
      </c>
    </row>
    <row r="4" spans="2:27" x14ac:dyDescent="0.3">
      <c r="B4" s="3" t="s">
        <v>135</v>
      </c>
      <c r="C4" s="265">
        <v>672</v>
      </c>
      <c r="D4" s="266">
        <v>1</v>
      </c>
      <c r="E4" s="265">
        <f>Inputs!$E$46/5</f>
        <v>724.8</v>
      </c>
      <c r="F4" s="265"/>
      <c r="G4" s="265">
        <f>MIN(Data!$C$11,Data!$C$11 * D4)</f>
        <v>1655.6291390728477</v>
      </c>
      <c r="H4" s="202">
        <f>Data!$C$8 * E4 / 1000</f>
        <v>4348.8</v>
      </c>
      <c r="I4" s="4">
        <f>H4 * Data!$C$18 * Data!$C$19 * (1 - Data!$C$17/100)</f>
        <v>4028.4891359999997</v>
      </c>
    </row>
    <row r="5" spans="2:27" x14ac:dyDescent="0.3">
      <c r="B5" s="3" t="s">
        <v>136</v>
      </c>
      <c r="C5" s="265">
        <v>744</v>
      </c>
      <c r="D5" s="266">
        <v>1</v>
      </c>
      <c r="E5" s="265">
        <f>Inputs!$E$46/5</f>
        <v>724.8</v>
      </c>
      <c r="F5" s="265"/>
      <c r="G5" s="265">
        <f>MIN(Data!$C$11,Data!$C$11 * D5)</f>
        <v>1655.6291390728477</v>
      </c>
      <c r="H5" s="202">
        <f>Data!$C$8 * E5 / 1000</f>
        <v>4348.8</v>
      </c>
      <c r="I5" s="4">
        <f>H5 * Data!$C$18 * Data!$C$19 * (1 - Data!$C$17/100)</f>
        <v>4028.4891359999997</v>
      </c>
    </row>
    <row r="6" spans="2:27" x14ac:dyDescent="0.3">
      <c r="B6" s="3" t="s">
        <v>137</v>
      </c>
      <c r="C6" s="265">
        <v>720</v>
      </c>
      <c r="D6" s="266">
        <v>0</v>
      </c>
      <c r="E6" s="265">
        <f t="shared" ref="E6:E12" si="0">C6*D6</f>
        <v>0</v>
      </c>
      <c r="F6" s="265"/>
      <c r="G6" s="265">
        <f>MIN(Data!$C$11,Data!$C$11 * D6)</f>
        <v>0</v>
      </c>
      <c r="H6" s="202">
        <f>Data!$C$8 * E6 / 1000</f>
        <v>0</v>
      </c>
      <c r="I6" s="4">
        <f>H6 * Data!$C$18 * Data!$C$19 * (1 - Data!$C$17/100)</f>
        <v>0</v>
      </c>
    </row>
    <row r="7" spans="2:27" x14ac:dyDescent="0.3">
      <c r="B7" s="3" t="s">
        <v>138</v>
      </c>
      <c r="C7" s="265">
        <v>744</v>
      </c>
      <c r="D7" s="266">
        <v>0</v>
      </c>
      <c r="E7" s="265">
        <f t="shared" si="0"/>
        <v>0</v>
      </c>
      <c r="F7" s="265"/>
      <c r="G7" s="265">
        <f>MIN(Data!$C$11,Data!$C$11 * D7)</f>
        <v>0</v>
      </c>
      <c r="H7" s="202">
        <f>Data!$C$8 * E7 / 1000</f>
        <v>0</v>
      </c>
      <c r="I7" s="4">
        <f>H7 * Data!$C$18 * Data!$C$19 * (1 - Data!$C$17/100)</f>
        <v>0</v>
      </c>
    </row>
    <row r="8" spans="2:27" x14ac:dyDescent="0.3">
      <c r="B8" s="3" t="s">
        <v>139</v>
      </c>
      <c r="C8" s="265">
        <v>720</v>
      </c>
      <c r="D8" s="266">
        <v>0</v>
      </c>
      <c r="E8" s="265">
        <f t="shared" si="0"/>
        <v>0</v>
      </c>
      <c r="F8" s="265"/>
      <c r="G8" s="265">
        <f>MIN(Data!$C$11,Data!$C$11 * D8)</f>
        <v>0</v>
      </c>
      <c r="H8" s="202">
        <f>Data!$C$8 * E8 / 1000</f>
        <v>0</v>
      </c>
      <c r="I8" s="4">
        <f>H8 * Data!$C$18 * Data!$C$19 * (1 - Data!$C$17/100)</f>
        <v>0</v>
      </c>
    </row>
    <row r="9" spans="2:27" x14ac:dyDescent="0.3">
      <c r="B9" s="3" t="s">
        <v>140</v>
      </c>
      <c r="C9" s="265">
        <v>744</v>
      </c>
      <c r="D9" s="266">
        <v>0</v>
      </c>
      <c r="E9" s="265">
        <f t="shared" si="0"/>
        <v>0</v>
      </c>
      <c r="F9" s="265"/>
      <c r="G9" s="265">
        <f>MIN(Data!$C$11,Data!$C$11 * D9)</f>
        <v>0</v>
      </c>
      <c r="H9" s="202">
        <f>Data!$C$8 * E9 / 1000</f>
        <v>0</v>
      </c>
      <c r="I9" s="4">
        <f>H9 * Data!$C$18 * Data!$C$19 * (1 - Data!$C$17/100)</f>
        <v>0</v>
      </c>
    </row>
    <row r="10" spans="2:27" x14ac:dyDescent="0.3">
      <c r="B10" s="3" t="s">
        <v>141</v>
      </c>
      <c r="C10" s="265">
        <v>744</v>
      </c>
      <c r="D10" s="266">
        <v>0</v>
      </c>
      <c r="E10" s="265">
        <f t="shared" si="0"/>
        <v>0</v>
      </c>
      <c r="F10" s="265"/>
      <c r="G10" s="265">
        <f>MIN(Data!$C$11,Data!$C$11 * D10)</f>
        <v>0</v>
      </c>
      <c r="H10" s="202">
        <f>Data!$C$8 * E10 / 1000</f>
        <v>0</v>
      </c>
      <c r="I10" s="4">
        <f>H10 * Data!$C$18 * Data!$C$19 * (1 - Data!$C$17/100)</f>
        <v>0</v>
      </c>
    </row>
    <row r="11" spans="2:27" x14ac:dyDescent="0.3">
      <c r="B11" s="3" t="s">
        <v>142</v>
      </c>
      <c r="C11" s="265">
        <v>720</v>
      </c>
      <c r="D11" s="266">
        <v>0</v>
      </c>
      <c r="E11" s="265">
        <f t="shared" si="0"/>
        <v>0</v>
      </c>
      <c r="F11" s="265"/>
      <c r="G11" s="265">
        <f>MIN(Data!$C$11,Data!$C$11 * D11)</f>
        <v>0</v>
      </c>
      <c r="H11" s="202">
        <f>Data!$C$8 * E11 / 1000</f>
        <v>0</v>
      </c>
      <c r="I11" s="4">
        <f>H11 * Data!$C$18 * Data!$C$19 * (1 - Data!$C$17/100)</f>
        <v>0</v>
      </c>
    </row>
    <row r="12" spans="2:27" x14ac:dyDescent="0.3">
      <c r="B12" s="3" t="s">
        <v>143</v>
      </c>
      <c r="C12" s="265">
        <v>744</v>
      </c>
      <c r="D12" s="266">
        <v>0</v>
      </c>
      <c r="E12" s="265">
        <f t="shared" si="0"/>
        <v>0</v>
      </c>
      <c r="F12" s="265"/>
      <c r="G12" s="265">
        <f>MIN(Data!$C$11,Data!$C$11 * D12)</f>
        <v>0</v>
      </c>
      <c r="H12" s="202">
        <f>Data!$C$8 * E12 / 1000</f>
        <v>0</v>
      </c>
      <c r="I12" s="4">
        <f>H12 * Data!$C$18 * Data!$C$19 * (1 - Data!$C$17/100)</f>
        <v>0</v>
      </c>
    </row>
    <row r="13" spans="2:27" x14ac:dyDescent="0.3">
      <c r="B13" s="3" t="s">
        <v>144</v>
      </c>
      <c r="C13" s="265">
        <v>720</v>
      </c>
      <c r="D13" s="266">
        <v>1</v>
      </c>
      <c r="E13" s="265">
        <f>Inputs!$E$46/5</f>
        <v>724.8</v>
      </c>
      <c r="F13" s="265"/>
      <c r="G13" s="265">
        <f>MIN(Data!$C$11,Data!$C$11 * D13)</f>
        <v>1655.6291390728477</v>
      </c>
      <c r="H13" s="202">
        <f>Data!$C$8 * E13 / 1000</f>
        <v>4348.8</v>
      </c>
      <c r="I13" s="4">
        <f>H13 * Data!$C$18 * Data!$C$19 * (1 - Data!$C$17/100)</f>
        <v>4028.4891359999997</v>
      </c>
    </row>
    <row r="14" spans="2:27" ht="15" thickBot="1" x14ac:dyDescent="0.35">
      <c r="B14" s="8" t="s">
        <v>145</v>
      </c>
      <c r="C14" s="269">
        <v>744</v>
      </c>
      <c r="D14" s="270">
        <v>1</v>
      </c>
      <c r="E14" s="269">
        <f>Inputs!$E$46/5</f>
        <v>724.8</v>
      </c>
      <c r="F14" s="269"/>
      <c r="G14" s="269">
        <f>MIN(Data!$C$11,Data!$C$11 * D14)</f>
        <v>1655.6291390728477</v>
      </c>
      <c r="H14" s="208">
        <f>Data!$C$8 * E14 / 1000</f>
        <v>4348.8</v>
      </c>
      <c r="I14" s="209">
        <f>H14 * Data!$C$18 * Data!$C$19 * (1 - Data!$C$17/100)</f>
        <v>4028.4891359999997</v>
      </c>
    </row>
    <row r="15" spans="2:27" ht="15" thickBot="1" x14ac:dyDescent="0.35"/>
    <row r="16" spans="2:27" ht="28.95" customHeight="1" x14ac:dyDescent="0.3">
      <c r="B16" s="285" t="s">
        <v>146</v>
      </c>
      <c r="C16" s="286"/>
      <c r="D16" s="65">
        <f>SUM(H3:H14)</f>
        <v>21744</v>
      </c>
    </row>
    <row r="17" spans="2:4" ht="28.95" customHeight="1" thickBot="1" x14ac:dyDescent="0.35">
      <c r="B17" s="287" t="s">
        <v>147</v>
      </c>
      <c r="C17" s="288"/>
      <c r="D17" s="66">
        <f>SUM(I3:I14)</f>
        <v>20142.445679999997</v>
      </c>
    </row>
  </sheetData>
  <mergeCells count="2">
    <mergeCell ref="B16:C16"/>
    <mergeCell ref="B17:C17"/>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644E-C6A2-44ED-AA7D-9E697B2121C6}">
  <sheetPr>
    <tabColor theme="0" tint="-0.249977111117893"/>
  </sheetPr>
  <dimension ref="A2:F37"/>
  <sheetViews>
    <sheetView topLeftCell="A13" workbookViewId="0">
      <selection activeCell="D35" sqref="D35"/>
    </sheetView>
  </sheetViews>
  <sheetFormatPr defaultColWidth="11.5546875" defaultRowHeight="14.4" x14ac:dyDescent="0.3"/>
  <cols>
    <col min="1" max="1" width="12.33203125" style="1" bestFit="1" customWidth="1"/>
    <col min="2" max="2" width="9.109375" style="1"/>
    <col min="3" max="3" width="21" style="1" bestFit="1" customWidth="1"/>
    <col min="4" max="4" width="12" style="1" customWidth="1"/>
    <col min="5" max="6" width="18.44140625" style="1" bestFit="1" customWidth="1"/>
    <col min="7" max="16384" width="11.5546875" style="1"/>
  </cols>
  <sheetData>
    <row r="2" spans="1:6" x14ac:dyDescent="0.3">
      <c r="A2" s="70" t="s">
        <v>148</v>
      </c>
      <c r="B2" s="71" t="s">
        <v>149</v>
      </c>
      <c r="C2" s="71" t="s">
        <v>150</v>
      </c>
      <c r="D2" s="72" t="s">
        <v>151</v>
      </c>
      <c r="E2" s="71" t="s">
        <v>152</v>
      </c>
      <c r="F2" s="73" t="s">
        <v>152</v>
      </c>
    </row>
    <row r="3" spans="1:6" x14ac:dyDescent="0.3">
      <c r="A3" s="74">
        <v>-5</v>
      </c>
      <c r="B3" s="75">
        <v>1</v>
      </c>
      <c r="C3" s="76">
        <f>Data!$C$11</f>
        <v>1655.6291390728477</v>
      </c>
      <c r="D3" s="75">
        <v>113.92</v>
      </c>
      <c r="E3" s="76">
        <f>+C3/D3</f>
        <v>14.533261403378228</v>
      </c>
      <c r="F3" s="77">
        <f>+B3*E3</f>
        <v>14.533261403378228</v>
      </c>
    </row>
    <row r="4" spans="1:6" x14ac:dyDescent="0.3">
      <c r="A4" s="78">
        <v>-4</v>
      </c>
      <c r="B4" s="32">
        <v>22</v>
      </c>
      <c r="C4" s="79">
        <f>Data!$C$11</f>
        <v>1655.6291390728477</v>
      </c>
      <c r="D4" s="32">
        <v>111.96</v>
      </c>
      <c r="E4" s="79">
        <f t="shared" ref="E4:E34" si="0">+C4/D4</f>
        <v>14.787684343273025</v>
      </c>
      <c r="F4" s="80">
        <f t="shared" ref="F4:F35" si="1">+B4*E4</f>
        <v>325.32905555200654</v>
      </c>
    </row>
    <row r="5" spans="1:6" x14ac:dyDescent="0.3">
      <c r="A5" s="78">
        <v>-3</v>
      </c>
      <c r="B5" s="32">
        <v>36</v>
      </c>
      <c r="C5" s="79">
        <f>Data!$C$11</f>
        <v>1655.6291390728477</v>
      </c>
      <c r="D5" s="32">
        <v>110.07</v>
      </c>
      <c r="E5" s="79">
        <f t="shared" si="0"/>
        <v>15.041602062985808</v>
      </c>
      <c r="F5" s="80">
        <f t="shared" si="1"/>
        <v>541.49767426748906</v>
      </c>
    </row>
    <row r="6" spans="1:6" x14ac:dyDescent="0.3">
      <c r="A6" s="78">
        <v>-2</v>
      </c>
      <c r="B6" s="32">
        <v>78</v>
      </c>
      <c r="C6" s="79">
        <f>Data!$C$11</f>
        <v>1655.6291390728477</v>
      </c>
      <c r="D6" s="32">
        <v>108.24</v>
      </c>
      <c r="E6" s="79">
        <f t="shared" si="0"/>
        <v>15.295908528019657</v>
      </c>
      <c r="F6" s="80">
        <f t="shared" si="1"/>
        <v>1193.0808651855332</v>
      </c>
    </row>
    <row r="7" spans="1:6" x14ac:dyDescent="0.3">
      <c r="A7" s="78">
        <v>-1</v>
      </c>
      <c r="B7" s="32">
        <v>111</v>
      </c>
      <c r="C7" s="79">
        <f>Data!$C$11</f>
        <v>1655.6291390728477</v>
      </c>
      <c r="D7" s="32">
        <v>106.47</v>
      </c>
      <c r="E7" s="79">
        <f t="shared" si="0"/>
        <v>15.550193848716518</v>
      </c>
      <c r="F7" s="80">
        <f t="shared" si="1"/>
        <v>1726.0715172075334</v>
      </c>
    </row>
    <row r="8" spans="1:6" x14ac:dyDescent="0.3">
      <c r="A8" s="78">
        <v>0</v>
      </c>
      <c r="B8" s="32">
        <v>152</v>
      </c>
      <c r="C8" s="79">
        <f>Data!$C$11</f>
        <v>1655.6291390728477</v>
      </c>
      <c r="D8" s="32">
        <v>104.76</v>
      </c>
      <c r="E8" s="79">
        <f t="shared" si="0"/>
        <v>15.804020036968764</v>
      </c>
      <c r="F8" s="80">
        <f t="shared" si="1"/>
        <v>2402.2110456192522</v>
      </c>
    </row>
    <row r="9" spans="1:6" x14ac:dyDescent="0.3">
      <c r="A9" s="78">
        <v>1</v>
      </c>
      <c r="B9" s="32">
        <v>161</v>
      </c>
      <c r="C9" s="79">
        <f>Data!$C$11</f>
        <v>1655.6291390728477</v>
      </c>
      <c r="D9" s="32">
        <v>101.96</v>
      </c>
      <c r="E9" s="79">
        <f t="shared" si="0"/>
        <v>16.238026079568925</v>
      </c>
      <c r="F9" s="80">
        <f t="shared" si="1"/>
        <v>2614.322198810597</v>
      </c>
    </row>
    <row r="10" spans="1:6" x14ac:dyDescent="0.3">
      <c r="A10" s="78">
        <v>2</v>
      </c>
      <c r="B10" s="32">
        <v>189</v>
      </c>
      <c r="C10" s="79">
        <f>Data!$C$11</f>
        <v>1655.6291390728477</v>
      </c>
      <c r="D10" s="32">
        <v>99.31</v>
      </c>
      <c r="E10" s="79">
        <f t="shared" si="0"/>
        <v>16.671323523037437</v>
      </c>
      <c r="F10" s="80">
        <f t="shared" si="1"/>
        <v>3150.8801458540756</v>
      </c>
    </row>
    <row r="11" spans="1:6" x14ac:dyDescent="0.3">
      <c r="A11" s="78">
        <v>3</v>
      </c>
      <c r="B11" s="32">
        <v>260</v>
      </c>
      <c r="C11" s="79">
        <f>Data!$C$11</f>
        <v>1655.6291390728477</v>
      </c>
      <c r="D11" s="32">
        <v>96.8</v>
      </c>
      <c r="E11" s="79">
        <f t="shared" si="0"/>
        <v>17.1036068086038</v>
      </c>
      <c r="F11" s="80">
        <f t="shared" si="1"/>
        <v>4446.9377702369884</v>
      </c>
    </row>
    <row r="12" spans="1:6" x14ac:dyDescent="0.3">
      <c r="A12" s="78">
        <v>4</v>
      </c>
      <c r="B12" s="32">
        <v>251</v>
      </c>
      <c r="C12" s="79">
        <f>Data!$C$11</f>
        <v>1655.6291390728477</v>
      </c>
      <c r="D12" s="32">
        <v>94.41</v>
      </c>
      <c r="E12" s="79">
        <f t="shared" si="0"/>
        <v>17.536586580583073</v>
      </c>
      <c r="F12" s="80">
        <f t="shared" si="1"/>
        <v>4401.6832317263516</v>
      </c>
    </row>
    <row r="13" spans="1:6" x14ac:dyDescent="0.3">
      <c r="A13" s="78">
        <v>5</v>
      </c>
      <c r="B13" s="32">
        <v>301</v>
      </c>
      <c r="C13" s="79">
        <f>Data!$C$11</f>
        <v>1655.6291390728477</v>
      </c>
      <c r="D13" s="32">
        <v>92.13</v>
      </c>
      <c r="E13" s="79">
        <f t="shared" si="0"/>
        <v>17.970575698174837</v>
      </c>
      <c r="F13" s="80">
        <f t="shared" si="1"/>
        <v>5409.1432851506261</v>
      </c>
    </row>
    <row r="14" spans="1:6" x14ac:dyDescent="0.3">
      <c r="A14" s="78">
        <v>6</v>
      </c>
      <c r="B14" s="32">
        <v>307</v>
      </c>
      <c r="C14" s="79">
        <f>Data!$C$11</f>
        <v>1655.6291390728477</v>
      </c>
      <c r="D14" s="32">
        <v>81.06</v>
      </c>
      <c r="E14" s="79">
        <f t="shared" si="0"/>
        <v>20.424736480049933</v>
      </c>
      <c r="F14" s="80">
        <f t="shared" si="1"/>
        <v>6270.3940993753295</v>
      </c>
    </row>
    <row r="15" spans="1:6" x14ac:dyDescent="0.3">
      <c r="A15" s="78">
        <v>7</v>
      </c>
      <c r="B15" s="32">
        <v>349</v>
      </c>
      <c r="C15" s="79">
        <f>Data!$C$11</f>
        <v>1655.6291390728477</v>
      </c>
      <c r="D15" s="32">
        <v>72.36</v>
      </c>
      <c r="E15" s="79">
        <f t="shared" si="0"/>
        <v>22.880446919193584</v>
      </c>
      <c r="F15" s="80">
        <f t="shared" si="1"/>
        <v>7985.275974798561</v>
      </c>
    </row>
    <row r="16" spans="1:6" x14ac:dyDescent="0.3">
      <c r="A16" s="78">
        <v>8</v>
      </c>
      <c r="B16" s="32">
        <v>309</v>
      </c>
      <c r="C16" s="79">
        <f>Data!$C$11</f>
        <v>1655.6291390728477</v>
      </c>
      <c r="D16" s="32">
        <v>65.34</v>
      </c>
      <c r="E16" s="79">
        <f t="shared" si="0"/>
        <v>25.338676753487107</v>
      </c>
      <c r="F16" s="80">
        <f t="shared" si="1"/>
        <v>7829.6511168275156</v>
      </c>
    </row>
    <row r="17" spans="1:6" x14ac:dyDescent="0.3">
      <c r="A17" s="78">
        <v>9</v>
      </c>
      <c r="B17" s="32">
        <v>332</v>
      </c>
      <c r="C17" s="79">
        <f>Data!$C$11</f>
        <v>1655.6291390728477</v>
      </c>
      <c r="D17" s="32">
        <v>59.57</v>
      </c>
      <c r="E17" s="79">
        <f t="shared" si="0"/>
        <v>27.79300216674245</v>
      </c>
      <c r="F17" s="80">
        <f t="shared" si="1"/>
        <v>9227.2767193584932</v>
      </c>
    </row>
    <row r="18" spans="1:6" x14ac:dyDescent="0.3">
      <c r="A18" s="78">
        <v>10</v>
      </c>
      <c r="B18" s="32">
        <v>353</v>
      </c>
      <c r="C18" s="79">
        <f>Data!$C$11</f>
        <v>1655.6291390728477</v>
      </c>
      <c r="D18" s="32">
        <v>54.73</v>
      </c>
      <c r="E18" s="79">
        <f t="shared" si="0"/>
        <v>30.250852166505531</v>
      </c>
      <c r="F18" s="80">
        <f t="shared" si="1"/>
        <v>10678.550814776452</v>
      </c>
    </row>
    <row r="19" spans="1:6" x14ac:dyDescent="0.3">
      <c r="A19" s="78">
        <v>11</v>
      </c>
      <c r="B19" s="32">
        <v>293</v>
      </c>
      <c r="C19" s="79">
        <f>Data!$C$11</f>
        <v>1655.6291390728477</v>
      </c>
      <c r="D19" s="32">
        <v>30.16</v>
      </c>
      <c r="E19" s="79">
        <f t="shared" si="0"/>
        <v>54.894865353874259</v>
      </c>
      <c r="F19" s="80">
        <f t="shared" si="1"/>
        <v>16084.195548685158</v>
      </c>
    </row>
    <row r="20" spans="1:6" x14ac:dyDescent="0.3">
      <c r="A20" s="78">
        <v>12</v>
      </c>
      <c r="B20" s="32">
        <v>251</v>
      </c>
      <c r="C20" s="79">
        <f>Data!$C$11</f>
        <v>1655.6291390728477</v>
      </c>
      <c r="D20" s="32">
        <v>20.81</v>
      </c>
      <c r="E20" s="79">
        <f t="shared" si="0"/>
        <v>79.559305097205566</v>
      </c>
      <c r="F20" s="80">
        <f t="shared" si="1"/>
        <v>19969.385579398597</v>
      </c>
    </row>
    <row r="21" spans="1:6" x14ac:dyDescent="0.3">
      <c r="A21" s="78">
        <v>13</v>
      </c>
      <c r="B21" s="32">
        <v>207</v>
      </c>
      <c r="C21" s="79">
        <f>Data!$C$11</f>
        <v>1655.6291390728477</v>
      </c>
      <c r="D21" s="32">
        <v>15.89</v>
      </c>
      <c r="E21" s="79">
        <f t="shared" si="0"/>
        <v>104.19314909206089</v>
      </c>
      <c r="F21" s="80">
        <f t="shared" si="1"/>
        <v>21567.981862056604</v>
      </c>
    </row>
    <row r="22" spans="1:6" x14ac:dyDescent="0.3">
      <c r="A22" s="78">
        <v>14</v>
      </c>
      <c r="B22" s="32">
        <v>201</v>
      </c>
      <c r="C22" s="79">
        <f>Data!$C$11</f>
        <v>1655.6291390728477</v>
      </c>
      <c r="D22" s="32">
        <v>16.010000000000002</v>
      </c>
      <c r="E22" s="79">
        <f t="shared" si="0"/>
        <v>103.4121885741941</v>
      </c>
      <c r="F22" s="80">
        <f t="shared" si="1"/>
        <v>20785.849903413015</v>
      </c>
    </row>
    <row r="23" spans="1:6" x14ac:dyDescent="0.3">
      <c r="A23" s="78">
        <v>15</v>
      </c>
      <c r="B23" s="32">
        <v>141</v>
      </c>
      <c r="C23" s="79">
        <f>Data!$C$11</f>
        <v>1655.6291390728477</v>
      </c>
      <c r="D23" s="32">
        <v>15.78</v>
      </c>
      <c r="E23" s="79">
        <f t="shared" si="0"/>
        <v>104.9194638195721</v>
      </c>
      <c r="F23" s="80">
        <f t="shared" si="1"/>
        <v>14793.644398559667</v>
      </c>
    </row>
    <row r="24" spans="1:6" x14ac:dyDescent="0.3">
      <c r="A24" s="78">
        <v>16</v>
      </c>
      <c r="B24" s="32">
        <v>142</v>
      </c>
      <c r="C24" s="79">
        <f>Data!$C$11</f>
        <v>1655.6291390728477</v>
      </c>
      <c r="D24" s="32">
        <v>15.01</v>
      </c>
      <c r="E24" s="79">
        <f t="shared" si="0"/>
        <v>110.30174144389392</v>
      </c>
      <c r="F24" s="80">
        <f t="shared" si="1"/>
        <v>15662.847285032936</v>
      </c>
    </row>
    <row r="25" spans="1:6" x14ac:dyDescent="0.3">
      <c r="A25" s="78">
        <v>17</v>
      </c>
      <c r="B25" s="32">
        <v>109</v>
      </c>
      <c r="C25" s="79">
        <f>Data!$C$11</f>
        <v>1655.6291390728477</v>
      </c>
      <c r="D25" s="32">
        <v>13.92</v>
      </c>
      <c r="E25" s="79">
        <f t="shared" si="0"/>
        <v>118.93887493339423</v>
      </c>
      <c r="F25" s="80">
        <f t="shared" si="1"/>
        <v>12964.33736773997</v>
      </c>
    </row>
    <row r="26" spans="1:6" x14ac:dyDescent="0.3">
      <c r="A26" s="78">
        <v>18</v>
      </c>
      <c r="B26" s="32">
        <v>97</v>
      </c>
      <c r="C26" s="79">
        <f>Data!$C$11</f>
        <v>1655.6291390728477</v>
      </c>
      <c r="D26" s="32">
        <v>12.81</v>
      </c>
      <c r="E26" s="79">
        <f t="shared" si="0"/>
        <v>129.24505379179138</v>
      </c>
      <c r="F26" s="80">
        <f t="shared" si="1"/>
        <v>12536.770217803763</v>
      </c>
    </row>
    <row r="27" spans="1:6" x14ac:dyDescent="0.3">
      <c r="A27" s="78">
        <v>19</v>
      </c>
      <c r="B27" s="32">
        <v>83</v>
      </c>
      <c r="C27" s="79">
        <f>Data!$C$11</f>
        <v>1655.6291390728477</v>
      </c>
      <c r="D27" s="32">
        <v>11.5</v>
      </c>
      <c r="E27" s="79">
        <f t="shared" si="0"/>
        <v>143.96775122372588</v>
      </c>
      <c r="F27" s="80">
        <f t="shared" si="1"/>
        <v>11949.323351569248</v>
      </c>
    </row>
    <row r="28" spans="1:6" x14ac:dyDescent="0.3">
      <c r="A28" s="78">
        <v>20</v>
      </c>
      <c r="B28" s="32">
        <v>59</v>
      </c>
      <c r="C28" s="79">
        <f>Data!$C$11</f>
        <v>1655.6291390728477</v>
      </c>
      <c r="D28" s="32">
        <v>10.19</v>
      </c>
      <c r="E28" s="79">
        <f t="shared" si="0"/>
        <v>162.47587233295857</v>
      </c>
      <c r="F28" s="80">
        <f t="shared" si="1"/>
        <v>9586.076467644556</v>
      </c>
    </row>
    <row r="29" spans="1:6" x14ac:dyDescent="0.3">
      <c r="A29" s="78">
        <v>21</v>
      </c>
      <c r="B29" s="32">
        <v>37</v>
      </c>
      <c r="C29" s="79">
        <f>Data!$C$11</f>
        <v>1655.6291390728477</v>
      </c>
      <c r="D29" s="32">
        <v>10.48</v>
      </c>
      <c r="E29" s="79">
        <f t="shared" si="0"/>
        <v>157.97987968252363</v>
      </c>
      <c r="F29" s="80">
        <f t="shared" si="1"/>
        <v>5845.2555482533744</v>
      </c>
    </row>
    <row r="30" spans="1:6" x14ac:dyDescent="0.3">
      <c r="A30" s="78">
        <v>22</v>
      </c>
      <c r="B30" s="32">
        <v>23</v>
      </c>
      <c r="C30" s="79">
        <f>Data!$C$11</f>
        <v>1655.6291390728477</v>
      </c>
      <c r="D30" s="32">
        <v>9.57</v>
      </c>
      <c r="E30" s="79">
        <f t="shared" si="0"/>
        <v>173.00199990311887</v>
      </c>
      <c r="F30" s="80">
        <f t="shared" si="1"/>
        <v>3979.0459977717342</v>
      </c>
    </row>
    <row r="31" spans="1:6" x14ac:dyDescent="0.3">
      <c r="A31" s="78">
        <v>23</v>
      </c>
      <c r="B31" s="32">
        <v>17</v>
      </c>
      <c r="C31" s="79">
        <f>Data!$C$11</f>
        <v>1655.6291390728477</v>
      </c>
      <c r="D31" s="32">
        <v>8.59</v>
      </c>
      <c r="E31" s="79">
        <f t="shared" si="0"/>
        <v>192.73913144037809</v>
      </c>
      <c r="F31" s="80">
        <f t="shared" si="1"/>
        <v>3276.5652344864275</v>
      </c>
    </row>
    <row r="32" spans="1:6" x14ac:dyDescent="0.3">
      <c r="A32" s="78">
        <v>24</v>
      </c>
      <c r="B32" s="32">
        <v>11</v>
      </c>
      <c r="C32" s="79">
        <f>Data!$C$11</f>
        <v>1655.6291390728477</v>
      </c>
      <c r="D32" s="32">
        <v>8.3800000000000008</v>
      </c>
      <c r="E32" s="79">
        <f t="shared" si="0"/>
        <v>197.56910967456415</v>
      </c>
      <c r="F32" s="80">
        <f t="shared" si="1"/>
        <v>2173.2602064202056</v>
      </c>
    </row>
    <row r="33" spans="1:6" x14ac:dyDescent="0.3">
      <c r="A33" s="78">
        <v>25</v>
      </c>
      <c r="B33" s="32">
        <v>8</v>
      </c>
      <c r="C33" s="79">
        <f>Data!$C$11</f>
        <v>1655.6291390728477</v>
      </c>
      <c r="D33" s="32">
        <v>7.67</v>
      </c>
      <c r="E33" s="79">
        <f t="shared" si="0"/>
        <v>215.85777562879372</v>
      </c>
      <c r="F33" s="80">
        <f t="shared" si="1"/>
        <v>1726.8622050303497</v>
      </c>
    </row>
    <row r="34" spans="1:6" x14ac:dyDescent="0.3">
      <c r="A34" s="78">
        <v>26</v>
      </c>
      <c r="B34" s="32">
        <v>3</v>
      </c>
      <c r="C34" s="79">
        <f>Data!$C$11</f>
        <v>1655.6291390728477</v>
      </c>
      <c r="D34" s="32">
        <v>8.26</v>
      </c>
      <c r="E34" s="79">
        <f t="shared" si="0"/>
        <v>200.43936308387987</v>
      </c>
      <c r="F34" s="80">
        <f t="shared" si="1"/>
        <v>601.31808925163955</v>
      </c>
    </row>
    <row r="35" spans="1:6" x14ac:dyDescent="0.3">
      <c r="A35" s="81">
        <v>27</v>
      </c>
      <c r="B35" s="82">
        <v>2</v>
      </c>
      <c r="C35" s="83">
        <f>Data!$C$11</f>
        <v>1655.6291390728477</v>
      </c>
      <c r="D35" s="82">
        <v>7.4</v>
      </c>
      <c r="E35" s="84">
        <f>+C35/D35</f>
        <v>223.7336674422767</v>
      </c>
      <c r="F35" s="85">
        <f t="shared" si="1"/>
        <v>447.4673348845534</v>
      </c>
    </row>
    <row r="36" spans="1:6" x14ac:dyDescent="0.3">
      <c r="B36" s="23">
        <f>+SUM(B3:B35)</f>
        <v>4896</v>
      </c>
      <c r="E36" s="49" t="s">
        <v>153</v>
      </c>
      <c r="F36" s="67">
        <f>+SUM(F3:F35)</f>
        <v>242167.02537415197</v>
      </c>
    </row>
    <row r="37" spans="1:6" x14ac:dyDescent="0.3">
      <c r="E37" s="68" t="s">
        <v>154</v>
      </c>
      <c r="F37" s="69">
        <f>+F36/B36</f>
        <v>49.46221923491666</v>
      </c>
    </row>
  </sheetData>
  <sheetProtection algorithmName="SHA-512" hashValue="FMjyMufmWl3bLIHMbpXiUbm7nrTKwXTIDftm5bWcntl4on2TI3AQYHXZAjp+l+veXI1MjMMAGASqe0JqfRyF+w==" saltValue="p+GrrxfleOnGOQYGol8hrw=="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249977111117893"/>
  </sheetPr>
  <dimension ref="B1:W26"/>
  <sheetViews>
    <sheetView workbookViewId="0">
      <selection activeCell="H8" sqref="H8"/>
    </sheetView>
  </sheetViews>
  <sheetFormatPr defaultColWidth="8.88671875" defaultRowHeight="14.4" x14ac:dyDescent="0.3"/>
  <cols>
    <col min="1" max="1" width="4.44140625" style="1" customWidth="1"/>
    <col min="2" max="2" width="48" style="1" customWidth="1"/>
    <col min="3" max="3" width="13.33203125" style="1" customWidth="1"/>
    <col min="4" max="12" width="9.88671875" style="1" customWidth="1"/>
    <col min="13" max="16384" width="8.88671875" style="1"/>
  </cols>
  <sheetData>
    <row r="1" spans="2:3" ht="15" thickBot="1" x14ac:dyDescent="0.35"/>
    <row r="2" spans="2:3" ht="18.600000000000001" thickBot="1" x14ac:dyDescent="0.4">
      <c r="B2" s="2" t="s">
        <v>203</v>
      </c>
      <c r="C2" s="232" t="s">
        <v>202</v>
      </c>
    </row>
    <row r="3" spans="2:3" x14ac:dyDescent="0.3">
      <c r="B3" s="10" t="s">
        <v>155</v>
      </c>
      <c r="C3" s="13">
        <f>Data!C12-Data!C13</f>
        <v>10</v>
      </c>
    </row>
    <row r="4" spans="2:3" x14ac:dyDescent="0.3">
      <c r="B4" s="3" t="s">
        <v>156</v>
      </c>
      <c r="C4" s="4">
        <f>Data!C11</f>
        <v>1655.6291390728477</v>
      </c>
    </row>
    <row r="5" spans="2:3" x14ac:dyDescent="0.3">
      <c r="B5" s="3" t="s">
        <v>157</v>
      </c>
      <c r="C5" s="4">
        <f>C4*1000 / (Data!C23 * C3)/3600</f>
        <v>39.646291644464746</v>
      </c>
    </row>
    <row r="6" spans="2:3" x14ac:dyDescent="0.3">
      <c r="B6" s="3" t="s">
        <v>158</v>
      </c>
      <c r="C6" s="7">
        <f>C5 / Data!C22</f>
        <v>3.9646291644464746E-2</v>
      </c>
    </row>
    <row r="7" spans="2:3" x14ac:dyDescent="0.3">
      <c r="B7" s="3" t="s">
        <v>159</v>
      </c>
      <c r="C7" s="7">
        <f>SQRT(4*C6/(PI()*Data!C21))</f>
        <v>0.18344704290127942</v>
      </c>
    </row>
    <row r="8" spans="2:3" x14ac:dyDescent="0.3">
      <c r="B8" s="3" t="s">
        <v>160</v>
      </c>
      <c r="C8" s="4">
        <f>C7*1000</f>
        <v>183.44704290127942</v>
      </c>
    </row>
    <row r="9" spans="2:3" x14ac:dyDescent="0.3">
      <c r="B9" s="3" t="s">
        <v>161</v>
      </c>
      <c r="C9" s="11">
        <f>C6 / (PI()*(C7^2)/4)</f>
        <v>1.5000000000000002</v>
      </c>
    </row>
    <row r="10" spans="2:3" x14ac:dyDescent="0.3">
      <c r="B10" s="3" t="s">
        <v>162</v>
      </c>
      <c r="C10" s="4">
        <f>0.5*Data!C22*Calculations!C9*Calculations!C9</f>
        <v>1125.0000000000002</v>
      </c>
    </row>
    <row r="11" spans="2:3" x14ac:dyDescent="0.3">
      <c r="B11" s="3" t="s">
        <v>163</v>
      </c>
      <c r="C11" s="4">
        <f>C10*C6</f>
        <v>44.602078100022851</v>
      </c>
    </row>
    <row r="12" spans="2:3" x14ac:dyDescent="0.3">
      <c r="B12" s="3" t="s">
        <v>164</v>
      </c>
      <c r="C12" s="4">
        <f>IF(Inputs!E43="NO",Inputs!E46*C11,Inputs!F46*C11)</f>
        <v>161637.93103448281</v>
      </c>
    </row>
    <row r="13" spans="2:3" x14ac:dyDescent="0.3">
      <c r="B13" s="3" t="s">
        <v>165</v>
      </c>
      <c r="C13" s="4">
        <f>Calculations!C5*Data!C23*(Data!C14-Data!C12)</f>
        <v>2575.4231052244299</v>
      </c>
    </row>
    <row r="14" spans="2:3" x14ac:dyDescent="0.3">
      <c r="B14" s="3" t="s">
        <v>166</v>
      </c>
      <c r="C14" s="4">
        <f>C4/Data!C25</f>
        <v>519.00599970935662</v>
      </c>
    </row>
    <row r="15" spans="2:3" ht="16.5" customHeight="1" x14ac:dyDescent="0.3">
      <c r="B15" s="3" t="s">
        <v>167</v>
      </c>
      <c r="C15" s="86">
        <f>IF(Inputs!E43="NO",Inputs!E46*C14,Inputs!F46*C14)</f>
        <v>1880877.7429467083</v>
      </c>
    </row>
    <row r="16" spans="2:3" x14ac:dyDescent="0.3">
      <c r="B16" s="3" t="s">
        <v>168</v>
      </c>
      <c r="C16" s="4">
        <f>'Meteo data + EER'!F37</f>
        <v>49.46221923491666</v>
      </c>
    </row>
    <row r="17" spans="2:23" ht="13.5" customHeight="1" x14ac:dyDescent="0.3">
      <c r="B17" s="3" t="s">
        <v>169</v>
      </c>
      <c r="C17" s="86">
        <f>IF(Inputs!E43="NO",Inputs!E46*C16,Inputs!F46*C16)</f>
        <v>179251.08250733797</v>
      </c>
    </row>
    <row r="18" spans="2:23" x14ac:dyDescent="0.3">
      <c r="B18" s="3" t="s">
        <v>170</v>
      </c>
      <c r="C18" s="11">
        <f>Data!C17*2*Data!C15*C3/1000</f>
        <v>1</v>
      </c>
      <c r="D18" s="1" t="s">
        <v>201</v>
      </c>
    </row>
    <row r="19" spans="2:23" ht="15" thickBot="1" x14ac:dyDescent="0.35">
      <c r="B19" s="8" t="s">
        <v>171</v>
      </c>
      <c r="C19" s="12">
        <f>C18 / C4 * 100</f>
        <v>6.0400000000000002E-2</v>
      </c>
    </row>
    <row r="20" spans="2:23" ht="15" thickBot="1" x14ac:dyDescent="0.35"/>
    <row r="21" spans="2:23" ht="18" x14ac:dyDescent="0.35">
      <c r="B21" s="200" t="s">
        <v>421</v>
      </c>
      <c r="C21" s="198">
        <v>0</v>
      </c>
      <c r="D21" s="195">
        <v>1</v>
      </c>
      <c r="E21" s="195">
        <v>2</v>
      </c>
      <c r="F21" s="195">
        <v>3</v>
      </c>
      <c r="G21" s="195">
        <v>4</v>
      </c>
      <c r="H21" s="195">
        <v>5</v>
      </c>
      <c r="I21" s="195">
        <v>6</v>
      </c>
      <c r="J21" s="195">
        <v>7</v>
      </c>
      <c r="K21" s="195">
        <v>8</v>
      </c>
      <c r="L21" s="195">
        <v>9</v>
      </c>
      <c r="M21" s="195">
        <v>10</v>
      </c>
      <c r="N21" s="195">
        <v>11</v>
      </c>
      <c r="O21" s="195">
        <v>12</v>
      </c>
      <c r="P21" s="195">
        <v>13</v>
      </c>
      <c r="Q21" s="195">
        <v>14</v>
      </c>
      <c r="R21" s="195">
        <v>15</v>
      </c>
      <c r="S21" s="195">
        <v>16</v>
      </c>
      <c r="T21" s="195">
        <v>17</v>
      </c>
      <c r="U21" s="195">
        <v>18</v>
      </c>
      <c r="V21" s="195">
        <v>19</v>
      </c>
      <c r="W21" s="196">
        <v>20</v>
      </c>
    </row>
    <row r="22" spans="2:23" ht="15" thickBot="1" x14ac:dyDescent="0.35">
      <c r="B22" s="230" t="s">
        <v>456</v>
      </c>
      <c r="C22" s="199">
        <f>'Results-P&amp;L'!C24</f>
        <v>95</v>
      </c>
      <c r="D22" s="197">
        <f>C22*Data!$C$62+C22</f>
        <v>96.9</v>
      </c>
      <c r="E22" s="197">
        <f>D22*Data!$C$62+D22</f>
        <v>98.838000000000008</v>
      </c>
      <c r="F22" s="197">
        <f>E22*Data!$C$62+E22</f>
        <v>100.81476000000001</v>
      </c>
      <c r="G22" s="197">
        <f>F22*Data!$C$62+F22</f>
        <v>102.83105520000001</v>
      </c>
      <c r="H22" s="197">
        <f>G22*Data!$C$62+G22</f>
        <v>104.88767630400001</v>
      </c>
      <c r="I22" s="197">
        <f>H22*Data!$C$62+H22</f>
        <v>106.98542983008001</v>
      </c>
      <c r="J22" s="197">
        <f>I22*Data!$C$62+I22</f>
        <v>109.1251384266816</v>
      </c>
      <c r="K22" s="197">
        <f>J22*Data!$C$62+J22</f>
        <v>111.30764119521524</v>
      </c>
      <c r="L22" s="197">
        <f>K22*Data!$C$62+K22</f>
        <v>113.53379401911954</v>
      </c>
      <c r="M22" s="197">
        <f>L22*Data!$C$62+L22</f>
        <v>115.80446989950192</v>
      </c>
      <c r="N22" s="197">
        <f>M22*Data!$C$62+M22</f>
        <v>118.12055929749197</v>
      </c>
      <c r="O22" s="197">
        <f>N22*Data!$C$62+N22</f>
        <v>120.4829704834418</v>
      </c>
      <c r="P22" s="197">
        <f>O22*Data!$C$62+O22</f>
        <v>122.89262989311064</v>
      </c>
      <c r="Q22" s="197">
        <f>P22*Data!$C$62+P22</f>
        <v>125.35048249097285</v>
      </c>
      <c r="R22" s="197">
        <f>Q22*Data!$C$62+Q22</f>
        <v>127.8574921407923</v>
      </c>
      <c r="S22" s="197">
        <f>R22*Data!$C$62+R22</f>
        <v>130.41464198360813</v>
      </c>
      <c r="T22" s="197">
        <f>S22*Data!$C$62+S22</f>
        <v>133.02293482328031</v>
      </c>
      <c r="U22" s="197">
        <f>T22*Data!$C$62+T22</f>
        <v>135.68339351974592</v>
      </c>
      <c r="V22" s="197">
        <f>U22*Data!$C$62+U22</f>
        <v>138.39706139014083</v>
      </c>
      <c r="W22" s="197">
        <f>V22*Data!$C$62+V22</f>
        <v>141.16500261794366</v>
      </c>
    </row>
    <row r="23" spans="2:23" ht="15" thickBot="1" x14ac:dyDescent="0.35"/>
    <row r="24" spans="2:23" ht="18" x14ac:dyDescent="0.35">
      <c r="B24" s="200" t="s">
        <v>420</v>
      </c>
      <c r="C24" s="198">
        <v>0</v>
      </c>
      <c r="D24" s="195">
        <v>1</v>
      </c>
      <c r="E24" s="195">
        <v>2</v>
      </c>
      <c r="F24" s="195">
        <v>3</v>
      </c>
      <c r="G24" s="195">
        <v>4</v>
      </c>
      <c r="H24" s="195">
        <v>5</v>
      </c>
      <c r="I24" s="195">
        <v>6</v>
      </c>
      <c r="J24" s="195">
        <v>7</v>
      </c>
      <c r="K24" s="195">
        <v>8</v>
      </c>
      <c r="L24" s="195">
        <v>9</v>
      </c>
      <c r="M24" s="195">
        <v>10</v>
      </c>
      <c r="N24" s="195">
        <v>11</v>
      </c>
      <c r="O24" s="195">
        <v>12</v>
      </c>
      <c r="P24" s="195">
        <v>13</v>
      </c>
      <c r="Q24" s="195">
        <v>14</v>
      </c>
      <c r="R24" s="195">
        <v>15</v>
      </c>
      <c r="S24" s="195">
        <v>16</v>
      </c>
      <c r="T24" s="195">
        <v>17</v>
      </c>
      <c r="U24" s="195">
        <v>18</v>
      </c>
      <c r="V24" s="195">
        <v>19</v>
      </c>
      <c r="W24" s="196">
        <v>20</v>
      </c>
    </row>
    <row r="25" spans="2:23" ht="15" thickBot="1" x14ac:dyDescent="0.35">
      <c r="B25" s="230" t="s">
        <v>417</v>
      </c>
      <c r="C25" s="199">
        <f>Inputs!E124</f>
        <v>0.14000000000000001</v>
      </c>
      <c r="D25" s="197">
        <f>C25*Data!$C$62+C25</f>
        <v>0.14280000000000001</v>
      </c>
      <c r="E25" s="197">
        <f>D25*Data!$C$62+D25</f>
        <v>0.14565600000000001</v>
      </c>
      <c r="F25" s="197">
        <f>E25*Data!$C$62+E25</f>
        <v>0.14856912</v>
      </c>
      <c r="G25" s="197">
        <f>F25*Data!$C$62+F25</f>
        <v>0.1515405024</v>
      </c>
      <c r="H25" s="197">
        <f>G25*Data!$C$62+G25</f>
        <v>0.15457131244799999</v>
      </c>
      <c r="I25" s="197">
        <f>H25*Data!$C$62+H25</f>
        <v>0.15766273869695999</v>
      </c>
      <c r="J25" s="197">
        <f>I25*Data!$C$62+I25</f>
        <v>0.1608159934708992</v>
      </c>
      <c r="K25" s="197">
        <f>J25*Data!$C$62+J25</f>
        <v>0.16403231334031718</v>
      </c>
      <c r="L25" s="197">
        <f>K25*Data!$C$62+K25</f>
        <v>0.16731295960712353</v>
      </c>
      <c r="M25" s="197">
        <f>L25*Data!$C$62+L25</f>
        <v>0.17065921879926599</v>
      </c>
      <c r="N25" s="197">
        <f>M25*Data!$C$62+M25</f>
        <v>0.1740724031752513</v>
      </c>
      <c r="O25" s="197">
        <f>N25*Data!$C$62+N25</f>
        <v>0.17755385123875633</v>
      </c>
      <c r="P25" s="197">
        <f>O25*Data!$C$62+O25</f>
        <v>0.18110492826353147</v>
      </c>
      <c r="Q25" s="197">
        <f>P25*Data!$C$62+P25</f>
        <v>0.1847270268288021</v>
      </c>
      <c r="R25" s="197">
        <f>Q25*Data!$C$62+Q25</f>
        <v>0.18842156736537813</v>
      </c>
      <c r="S25" s="197">
        <f>R25*Data!$C$62+R25</f>
        <v>0.19218999871268569</v>
      </c>
      <c r="T25" s="197">
        <f>S25*Data!$C$62+S25</f>
        <v>0.1960337986869394</v>
      </c>
      <c r="U25" s="197">
        <f>T25*Data!$C$62+T25</f>
        <v>0.1999544746606782</v>
      </c>
      <c r="V25" s="197">
        <f>U25*Data!$C$62+U25</f>
        <v>0.20395356415389176</v>
      </c>
      <c r="W25" s="197">
        <f>V25*Data!$C$62+V25</f>
        <v>0.20803263543696959</v>
      </c>
    </row>
    <row r="26" spans="2:23" ht="15" x14ac:dyDescent="0.3">
      <c r="B26" s="18"/>
    </row>
  </sheetData>
  <sheetProtection algorithmName="SHA-512" hashValue="E0l/vNGOpnrG1UoNl3/hlvJK/PEJ/F43C3okbjbWw4sLdSJkwlRMh+hkuHZ3pssCfmWBwSpeO9fDhGiD86c4lw==" saltValue="TE4fkvbrpwQM4LOQS0TXaQ==" spinCount="100000" sheet="1" objects="1" scenarios="1"/>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8E8DA-4591-4C16-9EB9-A214F48A6B11}">
  <sheetPr>
    <tabColor theme="0" tint="-0.249977111117893"/>
    <pageSetUpPr fitToPage="1"/>
  </sheetPr>
  <dimension ref="B1:L43"/>
  <sheetViews>
    <sheetView topLeftCell="A9" zoomScale="90" zoomScaleNormal="90" workbookViewId="0">
      <selection activeCell="F19" sqref="F19"/>
    </sheetView>
  </sheetViews>
  <sheetFormatPr defaultColWidth="8.6640625" defaultRowHeight="14.4" x14ac:dyDescent="0.3"/>
  <cols>
    <col min="1" max="1" width="3" customWidth="1"/>
    <col min="2" max="2" width="22" customWidth="1"/>
    <col min="3" max="3" width="26" customWidth="1"/>
    <col min="4" max="4" width="20" customWidth="1"/>
    <col min="5" max="5" width="28" customWidth="1"/>
    <col min="6" max="6" width="22" customWidth="1"/>
    <col min="7" max="7" width="18" customWidth="1"/>
    <col min="8" max="9" width="28" customWidth="1"/>
    <col min="10" max="10" width="18" customWidth="1"/>
    <col min="11" max="11" width="20" customWidth="1"/>
    <col min="12" max="12" width="36.109375" customWidth="1"/>
  </cols>
  <sheetData>
    <row r="1" spans="2:12" s="163" customFormat="1" ht="21" x14ac:dyDescent="0.4">
      <c r="B1" s="293" t="s">
        <v>205</v>
      </c>
      <c r="C1" s="293"/>
      <c r="D1" s="293"/>
      <c r="E1" s="293"/>
      <c r="F1" s="293"/>
      <c r="G1" s="293"/>
      <c r="H1" s="293"/>
      <c r="I1" s="293"/>
      <c r="J1" s="293"/>
      <c r="K1" s="293"/>
      <c r="L1" s="293"/>
    </row>
    <row r="2" spans="2:12" ht="19.5" customHeight="1" x14ac:dyDescent="0.3">
      <c r="B2" s="294" t="s">
        <v>206</v>
      </c>
      <c r="C2" s="294"/>
      <c r="D2" s="294"/>
      <c r="E2" s="294"/>
      <c r="F2" s="294"/>
      <c r="G2" s="294"/>
      <c r="H2" s="294"/>
      <c r="I2" s="294"/>
      <c r="J2" s="294"/>
      <c r="K2" s="294"/>
      <c r="L2" s="294"/>
    </row>
    <row r="3" spans="2:12" ht="6" customHeight="1" x14ac:dyDescent="0.3">
      <c r="B3" s="292"/>
      <c r="C3" s="292"/>
      <c r="D3" s="292"/>
      <c r="E3" s="292"/>
      <c r="F3" s="292"/>
      <c r="G3" s="292"/>
      <c r="H3" s="292"/>
      <c r="I3" s="292"/>
      <c r="J3" s="292"/>
      <c r="K3" s="292"/>
      <c r="L3" s="292"/>
    </row>
    <row r="4" spans="2:12" ht="19.5" customHeight="1" x14ac:dyDescent="0.3">
      <c r="B4" s="295" t="s">
        <v>207</v>
      </c>
      <c r="C4" s="295"/>
      <c r="D4" s="295"/>
      <c r="E4" s="295"/>
      <c r="F4" s="295"/>
      <c r="G4" s="295"/>
      <c r="H4" s="295"/>
      <c r="I4" s="295"/>
      <c r="J4" s="295"/>
      <c r="K4" s="295"/>
      <c r="L4" s="295"/>
    </row>
    <row r="5" spans="2:12" ht="15.75" customHeight="1" x14ac:dyDescent="0.3">
      <c r="B5" s="296" t="s">
        <v>370</v>
      </c>
      <c r="C5" s="296"/>
      <c r="D5" s="296"/>
      <c r="E5" s="296"/>
      <c r="F5" s="296"/>
      <c r="G5" s="296"/>
      <c r="H5" s="296"/>
      <c r="I5" s="296"/>
      <c r="J5" s="296"/>
      <c r="K5" s="296"/>
      <c r="L5" s="296"/>
    </row>
    <row r="6" spans="2:12" ht="15.75" customHeight="1" x14ac:dyDescent="0.3">
      <c r="B6" s="296"/>
      <c r="C6" s="296"/>
      <c r="D6" s="296"/>
      <c r="E6" s="296"/>
      <c r="F6" s="296"/>
      <c r="G6" s="296"/>
      <c r="H6" s="296"/>
      <c r="I6" s="296"/>
      <c r="J6" s="296"/>
      <c r="K6" s="296"/>
      <c r="L6" s="296"/>
    </row>
    <row r="7" spans="2:12" ht="9" customHeight="1" x14ac:dyDescent="0.3">
      <c r="B7" s="296"/>
      <c r="C7" s="296"/>
      <c r="D7" s="296"/>
      <c r="E7" s="296"/>
      <c r="F7" s="296"/>
      <c r="G7" s="296"/>
      <c r="H7" s="296"/>
      <c r="I7" s="296"/>
      <c r="J7" s="296"/>
      <c r="K7" s="296"/>
      <c r="L7" s="296"/>
    </row>
    <row r="8" spans="2:12" ht="6" customHeight="1" x14ac:dyDescent="0.3">
      <c r="B8" s="292"/>
      <c r="C8" s="292"/>
      <c r="D8" s="292"/>
      <c r="E8" s="292"/>
      <c r="F8" s="292"/>
      <c r="G8" s="292"/>
      <c r="H8" s="292"/>
      <c r="I8" s="292"/>
      <c r="J8" s="292"/>
      <c r="K8" s="292"/>
      <c r="L8" s="292"/>
    </row>
    <row r="9" spans="2:12" s="162" customFormat="1" ht="24" customHeight="1" x14ac:dyDescent="0.3">
      <c r="B9" s="289" t="s">
        <v>375</v>
      </c>
      <c r="C9" s="289"/>
      <c r="D9" s="289"/>
      <c r="E9" s="289"/>
      <c r="F9" s="289"/>
      <c r="G9" s="289"/>
      <c r="H9" s="289"/>
      <c r="I9" s="289"/>
      <c r="J9" s="289"/>
      <c r="K9" s="289"/>
      <c r="L9" s="289"/>
    </row>
    <row r="10" spans="2:12" ht="27.75" customHeight="1" x14ac:dyDescent="0.3">
      <c r="B10" s="291" t="s">
        <v>208</v>
      </c>
      <c r="C10" s="291"/>
      <c r="D10" s="291"/>
      <c r="E10" s="291"/>
      <c r="F10" s="291"/>
      <c r="G10" s="291"/>
      <c r="H10" s="291"/>
      <c r="I10" s="291"/>
      <c r="J10" s="291"/>
      <c r="K10" s="291"/>
      <c r="L10" s="291"/>
    </row>
    <row r="11" spans="2:12" s="161" customFormat="1" ht="31.8" thickBot="1" x14ac:dyDescent="0.35">
      <c r="B11" s="160" t="s">
        <v>209</v>
      </c>
      <c r="C11" s="160" t="s">
        <v>210</v>
      </c>
      <c r="D11" s="160" t="s">
        <v>211</v>
      </c>
      <c r="E11" s="160" t="s">
        <v>212</v>
      </c>
      <c r="F11" s="160" t="s">
        <v>213</v>
      </c>
      <c r="G11" s="160" t="s">
        <v>214</v>
      </c>
      <c r="H11" s="160" t="s">
        <v>215</v>
      </c>
      <c r="I11" s="160" t="s">
        <v>216</v>
      </c>
      <c r="J11" s="160" t="s">
        <v>217</v>
      </c>
      <c r="K11" s="160" t="s">
        <v>218</v>
      </c>
      <c r="L11" s="160" t="s">
        <v>219</v>
      </c>
    </row>
    <row r="12" spans="2:12" s="169" customFormat="1" ht="34.200000000000003" x14ac:dyDescent="0.3">
      <c r="B12" s="172" t="s">
        <v>220</v>
      </c>
      <c r="C12" s="174" t="s">
        <v>221</v>
      </c>
      <c r="D12" s="174" t="s">
        <v>222</v>
      </c>
      <c r="E12" s="174" t="s">
        <v>223</v>
      </c>
      <c r="F12" s="174" t="s">
        <v>224</v>
      </c>
      <c r="G12" s="174" t="s">
        <v>225</v>
      </c>
      <c r="H12" s="174" t="s">
        <v>226</v>
      </c>
      <c r="I12" s="174" t="s">
        <v>227</v>
      </c>
      <c r="J12" s="174" t="s">
        <v>228</v>
      </c>
      <c r="K12" s="174" t="s">
        <v>394</v>
      </c>
      <c r="L12" s="179"/>
    </row>
    <row r="13" spans="2:12" s="169" customFormat="1" ht="34.200000000000003" x14ac:dyDescent="0.3">
      <c r="B13" s="173" t="s">
        <v>220</v>
      </c>
      <c r="C13" s="175" t="s">
        <v>230</v>
      </c>
      <c r="D13" s="175" t="s">
        <v>222</v>
      </c>
      <c r="E13" s="175" t="s">
        <v>231</v>
      </c>
      <c r="F13" s="175" t="s">
        <v>232</v>
      </c>
      <c r="G13" s="175" t="s">
        <v>233</v>
      </c>
      <c r="H13" s="175" t="s">
        <v>234</v>
      </c>
      <c r="I13" s="175" t="s">
        <v>235</v>
      </c>
      <c r="J13" s="175" t="s">
        <v>228</v>
      </c>
      <c r="K13" s="175" t="s">
        <v>394</v>
      </c>
      <c r="L13" s="179"/>
    </row>
    <row r="14" spans="2:12" s="169" customFormat="1" ht="34.200000000000003" x14ac:dyDescent="0.3">
      <c r="B14" s="172" t="s">
        <v>236</v>
      </c>
      <c r="C14" s="174" t="s">
        <v>237</v>
      </c>
      <c r="D14" s="174" t="s">
        <v>238</v>
      </c>
      <c r="E14" s="174" t="s">
        <v>239</v>
      </c>
      <c r="F14" s="174" t="s">
        <v>240</v>
      </c>
      <c r="G14" s="174" t="s">
        <v>241</v>
      </c>
      <c r="H14" s="174" t="s">
        <v>242</v>
      </c>
      <c r="I14" s="174" t="s">
        <v>243</v>
      </c>
      <c r="J14" s="174" t="s">
        <v>228</v>
      </c>
      <c r="K14" s="174" t="s">
        <v>395</v>
      </c>
      <c r="L14" s="179"/>
    </row>
    <row r="15" spans="2:12" s="169" customFormat="1" ht="22.8" x14ac:dyDescent="0.3">
      <c r="B15" s="173" t="s">
        <v>236</v>
      </c>
      <c r="C15" s="175" t="s">
        <v>244</v>
      </c>
      <c r="D15" s="175" t="s">
        <v>238</v>
      </c>
      <c r="E15" s="175" t="s">
        <v>245</v>
      </c>
      <c r="F15" s="175" t="s">
        <v>246</v>
      </c>
      <c r="G15" s="175" t="s">
        <v>247</v>
      </c>
      <c r="H15" s="175" t="s">
        <v>226</v>
      </c>
      <c r="I15" s="175" t="s">
        <v>227</v>
      </c>
      <c r="J15" s="175" t="s">
        <v>228</v>
      </c>
      <c r="K15" s="175" t="s">
        <v>396</v>
      </c>
      <c r="L15" s="179"/>
    </row>
    <row r="16" spans="2:12" s="169" customFormat="1" ht="24" x14ac:dyDescent="0.3">
      <c r="B16" s="172" t="s">
        <v>248</v>
      </c>
      <c r="C16" s="174" t="s">
        <v>249</v>
      </c>
      <c r="D16" s="174" t="s">
        <v>250</v>
      </c>
      <c r="E16" s="174" t="s">
        <v>251</v>
      </c>
      <c r="F16" s="174" t="s">
        <v>252</v>
      </c>
      <c r="G16" s="174" t="s">
        <v>253</v>
      </c>
      <c r="H16" s="174" t="s">
        <v>254</v>
      </c>
      <c r="I16" s="174" t="s">
        <v>255</v>
      </c>
      <c r="J16" s="174" t="s">
        <v>228</v>
      </c>
      <c r="K16" s="174" t="s">
        <v>397</v>
      </c>
      <c r="L16" s="179"/>
    </row>
    <row r="17" spans="2:12" s="169" customFormat="1" ht="36" x14ac:dyDescent="0.3">
      <c r="B17" s="184" t="s">
        <v>256</v>
      </c>
      <c r="C17" s="180" t="s">
        <v>257</v>
      </c>
      <c r="D17" s="180" t="s">
        <v>258</v>
      </c>
      <c r="E17" s="180" t="s">
        <v>259</v>
      </c>
      <c r="F17" s="180" t="s">
        <v>260</v>
      </c>
      <c r="G17" s="180" t="s">
        <v>261</v>
      </c>
      <c r="H17" s="180" t="s">
        <v>262</v>
      </c>
      <c r="I17" s="180" t="s">
        <v>263</v>
      </c>
      <c r="J17" s="180" t="s">
        <v>264</v>
      </c>
      <c r="K17" s="180" t="s">
        <v>398</v>
      </c>
      <c r="L17" s="180" t="s">
        <v>371</v>
      </c>
    </row>
    <row r="18" spans="2:12" s="169" customFormat="1" ht="22.8" x14ac:dyDescent="0.3">
      <c r="B18" s="184" t="s">
        <v>265</v>
      </c>
      <c r="C18" s="180" t="s">
        <v>266</v>
      </c>
      <c r="D18" s="180" t="s">
        <v>222</v>
      </c>
      <c r="E18" s="180" t="s">
        <v>267</v>
      </c>
      <c r="F18" s="180" t="s">
        <v>268</v>
      </c>
      <c r="G18" s="180" t="s">
        <v>269</v>
      </c>
      <c r="H18" s="180" t="s">
        <v>270</v>
      </c>
      <c r="I18" s="180" t="s">
        <v>270</v>
      </c>
      <c r="J18" s="180" t="s">
        <v>271</v>
      </c>
      <c r="K18" s="180" t="s">
        <v>399</v>
      </c>
      <c r="L18" s="180" t="s">
        <v>372</v>
      </c>
    </row>
    <row r="19" spans="2:12" s="169" customFormat="1" ht="36" x14ac:dyDescent="0.3">
      <c r="B19" s="173" t="s">
        <v>272</v>
      </c>
      <c r="C19" s="175" t="s">
        <v>273</v>
      </c>
      <c r="D19" s="175" t="s">
        <v>222</v>
      </c>
      <c r="E19" s="175" t="s">
        <v>274</v>
      </c>
      <c r="F19" s="175" t="s">
        <v>275</v>
      </c>
      <c r="G19" s="175" t="s">
        <v>276</v>
      </c>
      <c r="H19" s="175" t="s">
        <v>277</v>
      </c>
      <c r="I19" s="175" t="s">
        <v>278</v>
      </c>
      <c r="J19" s="175" t="s">
        <v>228</v>
      </c>
      <c r="K19" s="175" t="s">
        <v>400</v>
      </c>
      <c r="L19" s="179"/>
    </row>
    <row r="20" spans="2:12" s="169" customFormat="1" ht="34.200000000000003" x14ac:dyDescent="0.3">
      <c r="B20" s="172" t="s">
        <v>279</v>
      </c>
      <c r="C20" s="174" t="s">
        <v>280</v>
      </c>
      <c r="D20" s="174" t="s">
        <v>281</v>
      </c>
      <c r="E20" s="174" t="s">
        <v>282</v>
      </c>
      <c r="F20" s="174" t="s">
        <v>283</v>
      </c>
      <c r="G20" s="174" t="s">
        <v>284</v>
      </c>
      <c r="H20" s="174" t="s">
        <v>285</v>
      </c>
      <c r="I20" s="174" t="s">
        <v>286</v>
      </c>
      <c r="J20" s="174" t="s">
        <v>228</v>
      </c>
      <c r="K20" s="174" t="s">
        <v>401</v>
      </c>
      <c r="L20" s="179"/>
    </row>
    <row r="21" spans="2:12" ht="7.5" customHeight="1" x14ac:dyDescent="0.3">
      <c r="B21" s="292"/>
      <c r="C21" s="292"/>
      <c r="D21" s="292"/>
      <c r="E21" s="292"/>
      <c r="F21" s="292"/>
      <c r="G21" s="292"/>
      <c r="H21" s="292"/>
      <c r="I21" s="292"/>
      <c r="J21" s="292"/>
      <c r="K21" s="292"/>
      <c r="L21" s="292"/>
    </row>
    <row r="22" spans="2:12" s="162" customFormat="1" ht="24" customHeight="1" x14ac:dyDescent="0.3">
      <c r="B22" s="289" t="s">
        <v>376</v>
      </c>
      <c r="C22" s="289"/>
      <c r="D22" s="289"/>
      <c r="E22" s="289"/>
      <c r="F22" s="289"/>
      <c r="G22" s="289"/>
      <c r="H22" s="289"/>
      <c r="I22" s="289"/>
      <c r="J22" s="289"/>
      <c r="K22" s="289"/>
      <c r="L22" s="289"/>
    </row>
    <row r="23" spans="2:12" ht="27.75" customHeight="1" x14ac:dyDescent="0.3">
      <c r="B23" s="291" t="s">
        <v>287</v>
      </c>
      <c r="C23" s="291"/>
      <c r="D23" s="291"/>
      <c r="E23" s="291"/>
      <c r="F23" s="291"/>
      <c r="G23" s="291"/>
      <c r="H23" s="291"/>
      <c r="I23" s="291"/>
      <c r="J23" s="291"/>
      <c r="K23" s="291"/>
      <c r="L23" s="291"/>
    </row>
    <row r="24" spans="2:12" ht="36.6" thickBot="1" x14ac:dyDescent="0.35">
      <c r="B24" s="159" t="s">
        <v>209</v>
      </c>
      <c r="C24" s="159" t="s">
        <v>210</v>
      </c>
      <c r="D24" s="159" t="s">
        <v>211</v>
      </c>
      <c r="E24" s="159" t="s">
        <v>288</v>
      </c>
      <c r="F24" s="159" t="s">
        <v>289</v>
      </c>
      <c r="G24" s="159" t="s">
        <v>290</v>
      </c>
      <c r="H24" s="159" t="s">
        <v>291</v>
      </c>
      <c r="I24" s="159" t="s">
        <v>292</v>
      </c>
      <c r="J24" s="159" t="s">
        <v>293</v>
      </c>
      <c r="K24" s="159" t="s">
        <v>218</v>
      </c>
      <c r="L24" s="159" t="s">
        <v>219</v>
      </c>
    </row>
    <row r="25" spans="2:12" s="169" customFormat="1" ht="45.6" x14ac:dyDescent="0.3">
      <c r="B25" s="181" t="s">
        <v>294</v>
      </c>
      <c r="C25" s="182" t="s">
        <v>402</v>
      </c>
      <c r="D25" s="182" t="s">
        <v>295</v>
      </c>
      <c r="E25" s="182" t="s">
        <v>296</v>
      </c>
      <c r="F25" s="182" t="s">
        <v>390</v>
      </c>
      <c r="G25" s="182" t="s">
        <v>377</v>
      </c>
      <c r="H25" s="182" t="s">
        <v>383</v>
      </c>
      <c r="I25" s="182" t="s">
        <v>387</v>
      </c>
      <c r="J25" s="182" t="s">
        <v>388</v>
      </c>
      <c r="K25" s="182" t="s">
        <v>297</v>
      </c>
      <c r="L25" s="183"/>
    </row>
    <row r="26" spans="2:12" s="169" customFormat="1" ht="34.200000000000003" x14ac:dyDescent="0.3">
      <c r="B26" s="173" t="s">
        <v>294</v>
      </c>
      <c r="C26" s="175" t="s">
        <v>403</v>
      </c>
      <c r="D26" s="175" t="s">
        <v>295</v>
      </c>
      <c r="E26" s="175" t="s">
        <v>298</v>
      </c>
      <c r="F26" s="175" t="s">
        <v>299</v>
      </c>
      <c r="G26" s="175" t="s">
        <v>378</v>
      </c>
      <c r="H26" s="175" t="s">
        <v>384</v>
      </c>
      <c r="I26" s="175" t="s">
        <v>300</v>
      </c>
      <c r="J26" s="175" t="s">
        <v>389</v>
      </c>
      <c r="K26" s="175" t="s">
        <v>301</v>
      </c>
      <c r="L26" s="183"/>
    </row>
    <row r="27" spans="2:12" s="169" customFormat="1" ht="34.200000000000003" x14ac:dyDescent="0.3">
      <c r="B27" s="181" t="s">
        <v>302</v>
      </c>
      <c r="C27" s="182" t="s">
        <v>404</v>
      </c>
      <c r="D27" s="182" t="s">
        <v>222</v>
      </c>
      <c r="E27" s="182" t="s">
        <v>303</v>
      </c>
      <c r="F27" s="182" t="s">
        <v>304</v>
      </c>
      <c r="G27" s="182" t="s">
        <v>379</v>
      </c>
      <c r="H27" s="182" t="s">
        <v>385</v>
      </c>
      <c r="I27" s="182" t="s">
        <v>305</v>
      </c>
      <c r="J27" s="182" t="s">
        <v>389</v>
      </c>
      <c r="K27" s="182" t="s">
        <v>306</v>
      </c>
      <c r="L27" s="183"/>
    </row>
    <row r="28" spans="2:12" s="169" customFormat="1" ht="34.200000000000003" x14ac:dyDescent="0.3">
      <c r="B28" s="173" t="s">
        <v>307</v>
      </c>
      <c r="C28" s="175" t="s">
        <v>405</v>
      </c>
      <c r="D28" s="175" t="s">
        <v>295</v>
      </c>
      <c r="E28" s="175" t="s">
        <v>391</v>
      </c>
      <c r="F28" s="175" t="s">
        <v>308</v>
      </c>
      <c r="G28" s="175" t="s">
        <v>380</v>
      </c>
      <c r="H28" s="175" t="s">
        <v>386</v>
      </c>
      <c r="I28" s="175" t="s">
        <v>309</v>
      </c>
      <c r="J28" s="175" t="s">
        <v>389</v>
      </c>
      <c r="K28" s="175" t="s">
        <v>310</v>
      </c>
      <c r="L28" s="183" t="s">
        <v>373</v>
      </c>
    </row>
    <row r="29" spans="2:12" s="169" customFormat="1" ht="34.200000000000003" x14ac:dyDescent="0.3">
      <c r="B29" s="181" t="s">
        <v>311</v>
      </c>
      <c r="C29" s="182" t="s">
        <v>406</v>
      </c>
      <c r="D29" s="182" t="s">
        <v>312</v>
      </c>
      <c r="E29" s="182" t="s">
        <v>313</v>
      </c>
      <c r="F29" s="182" t="s">
        <v>314</v>
      </c>
      <c r="G29" s="182" t="s">
        <v>381</v>
      </c>
      <c r="H29" s="182" t="s">
        <v>315</v>
      </c>
      <c r="I29" s="182" t="s">
        <v>316</v>
      </c>
      <c r="J29" s="182" t="s">
        <v>389</v>
      </c>
      <c r="K29" s="182" t="s">
        <v>317</v>
      </c>
      <c r="L29" s="183"/>
    </row>
    <row r="30" spans="2:12" s="169" customFormat="1" ht="36" x14ac:dyDescent="0.3">
      <c r="B30" s="173" t="s">
        <v>318</v>
      </c>
      <c r="C30" s="175" t="s">
        <v>319</v>
      </c>
      <c r="D30" s="175" t="s">
        <v>320</v>
      </c>
      <c r="E30" s="175" t="s">
        <v>321</v>
      </c>
      <c r="F30" s="175" t="s">
        <v>322</v>
      </c>
      <c r="G30" s="175" t="s">
        <v>382</v>
      </c>
      <c r="H30" s="175" t="s">
        <v>323</v>
      </c>
      <c r="I30" s="175" t="s">
        <v>324</v>
      </c>
      <c r="J30" s="175" t="s">
        <v>389</v>
      </c>
      <c r="K30" s="175" t="s">
        <v>229</v>
      </c>
      <c r="L30" s="183"/>
    </row>
    <row r="31" spans="2:12" ht="7.5" customHeight="1" x14ac:dyDescent="0.3">
      <c r="B31" s="292"/>
      <c r="C31" s="292"/>
      <c r="D31" s="292"/>
      <c r="E31" s="292"/>
      <c r="F31" s="292"/>
      <c r="G31" s="292"/>
      <c r="H31" s="292"/>
      <c r="I31" s="292"/>
      <c r="J31" s="292"/>
      <c r="K31" s="292"/>
      <c r="L31" s="292"/>
    </row>
    <row r="32" spans="2:12" s="162" customFormat="1" ht="24" customHeight="1" x14ac:dyDescent="0.3">
      <c r="B32" s="289" t="s">
        <v>325</v>
      </c>
      <c r="C32" s="289"/>
      <c r="D32" s="289"/>
      <c r="E32" s="289"/>
      <c r="F32" s="289"/>
      <c r="G32" s="289"/>
      <c r="H32" s="289"/>
      <c r="I32" s="289"/>
      <c r="J32" s="289"/>
      <c r="K32" s="289"/>
      <c r="L32" s="289"/>
    </row>
    <row r="33" spans="2:12" s="165" customFormat="1" ht="28.2" thickBot="1" x14ac:dyDescent="0.35">
      <c r="B33" s="164" t="s">
        <v>326</v>
      </c>
      <c r="C33" s="164" t="s">
        <v>327</v>
      </c>
      <c r="D33" s="164" t="s">
        <v>328</v>
      </c>
      <c r="E33" s="164" t="s">
        <v>329</v>
      </c>
      <c r="F33" s="164" t="s">
        <v>330</v>
      </c>
      <c r="G33" s="164" t="s">
        <v>331</v>
      </c>
      <c r="H33" s="164" t="s">
        <v>332</v>
      </c>
      <c r="I33" s="164" t="s">
        <v>333</v>
      </c>
      <c r="J33" s="164"/>
      <c r="K33" s="164"/>
      <c r="L33" s="164" t="s">
        <v>334</v>
      </c>
    </row>
    <row r="34" spans="2:12" s="169" customFormat="1" ht="45.6" x14ac:dyDescent="0.3">
      <c r="B34" s="172" t="s">
        <v>335</v>
      </c>
      <c r="C34" s="174" t="s">
        <v>336</v>
      </c>
      <c r="D34" s="176">
        <v>496689</v>
      </c>
      <c r="E34" s="176">
        <v>350</v>
      </c>
      <c r="F34" s="176">
        <v>600</v>
      </c>
      <c r="G34" s="176">
        <v>579250</v>
      </c>
      <c r="H34" s="176">
        <v>993000</v>
      </c>
      <c r="I34" s="167" t="s">
        <v>337</v>
      </c>
      <c r="J34" s="166"/>
      <c r="K34" s="166"/>
      <c r="L34" s="168" t="s">
        <v>338</v>
      </c>
    </row>
    <row r="35" spans="2:12" s="169" customFormat="1" ht="45.6" x14ac:dyDescent="0.3">
      <c r="B35" s="173" t="s">
        <v>339</v>
      </c>
      <c r="C35" s="175" t="s">
        <v>340</v>
      </c>
      <c r="D35" s="177">
        <v>82781</v>
      </c>
      <c r="E35" s="177">
        <v>15</v>
      </c>
      <c r="F35" s="177">
        <v>50</v>
      </c>
      <c r="G35" s="177">
        <v>24825</v>
      </c>
      <c r="H35" s="177">
        <v>82750</v>
      </c>
      <c r="I35" s="171" t="s">
        <v>341</v>
      </c>
      <c r="J35" s="170"/>
      <c r="K35" s="170"/>
      <c r="L35" s="168" t="s">
        <v>392</v>
      </c>
    </row>
    <row r="36" spans="2:12" s="169" customFormat="1" ht="34.200000000000003" x14ac:dyDescent="0.3">
      <c r="B36" s="172" t="s">
        <v>342</v>
      </c>
      <c r="C36" s="174" t="s">
        <v>343</v>
      </c>
      <c r="D36" s="176">
        <v>248344</v>
      </c>
      <c r="E36" s="176">
        <v>100</v>
      </c>
      <c r="F36" s="176">
        <v>200</v>
      </c>
      <c r="G36" s="176">
        <v>165500</v>
      </c>
      <c r="H36" s="176">
        <v>331000</v>
      </c>
      <c r="I36" s="171" t="s">
        <v>341</v>
      </c>
      <c r="J36" s="166"/>
      <c r="K36" s="166"/>
      <c r="L36" s="168" t="s">
        <v>344</v>
      </c>
    </row>
    <row r="37" spans="2:12" s="169" customFormat="1" ht="57" x14ac:dyDescent="0.3">
      <c r="B37" s="173" t="s">
        <v>345</v>
      </c>
      <c r="C37" s="175" t="s">
        <v>346</v>
      </c>
      <c r="D37" s="177">
        <v>115894</v>
      </c>
      <c r="E37" s="177">
        <v>70</v>
      </c>
      <c r="F37" s="175" t="s">
        <v>347</v>
      </c>
      <c r="G37" s="177">
        <v>115894</v>
      </c>
      <c r="H37" s="175" t="s">
        <v>348</v>
      </c>
      <c r="I37" s="167" t="s">
        <v>349</v>
      </c>
      <c r="J37" s="170"/>
      <c r="K37" s="170"/>
      <c r="L37" s="168" t="s">
        <v>393</v>
      </c>
    </row>
    <row r="38" spans="2:12" s="169" customFormat="1" ht="34.200000000000003" x14ac:dyDescent="0.3">
      <c r="B38" s="172" t="s">
        <v>350</v>
      </c>
      <c r="C38" s="174" t="s">
        <v>374</v>
      </c>
      <c r="D38" s="176">
        <v>99089</v>
      </c>
      <c r="E38" s="176">
        <v>30</v>
      </c>
      <c r="F38" s="176">
        <v>80</v>
      </c>
      <c r="G38" s="176">
        <v>49650</v>
      </c>
      <c r="H38" s="176">
        <v>132400</v>
      </c>
      <c r="I38" s="171" t="s">
        <v>341</v>
      </c>
      <c r="J38" s="166"/>
      <c r="K38" s="166"/>
      <c r="L38" s="168" t="s">
        <v>351</v>
      </c>
    </row>
    <row r="39" spans="2:12" s="169" customFormat="1" ht="45.6" x14ac:dyDescent="0.3">
      <c r="B39" s="173" t="s">
        <v>352</v>
      </c>
      <c r="C39" s="175" t="s">
        <v>353</v>
      </c>
      <c r="D39" s="177">
        <v>47185</v>
      </c>
      <c r="E39" s="175" t="s">
        <v>354</v>
      </c>
      <c r="F39" s="175" t="s">
        <v>355</v>
      </c>
      <c r="G39" s="177">
        <v>59950</v>
      </c>
      <c r="H39" s="177">
        <v>149850</v>
      </c>
      <c r="I39" s="167" t="s">
        <v>356</v>
      </c>
      <c r="J39" s="170"/>
      <c r="K39" s="170"/>
      <c r="L39" s="168" t="s">
        <v>357</v>
      </c>
    </row>
    <row r="40" spans="2:12" s="169" customFormat="1" ht="45.6" x14ac:dyDescent="0.3">
      <c r="B40" s="172" t="s">
        <v>358</v>
      </c>
      <c r="C40" s="174" t="s">
        <v>120</v>
      </c>
      <c r="D40" s="176">
        <v>108998</v>
      </c>
      <c r="E40" s="178">
        <v>0.15</v>
      </c>
      <c r="F40" s="178">
        <v>0.25</v>
      </c>
      <c r="G40" s="176">
        <v>149850</v>
      </c>
      <c r="H40" s="176">
        <v>249750</v>
      </c>
      <c r="I40" s="167" t="s">
        <v>359</v>
      </c>
      <c r="J40" s="166"/>
      <c r="K40" s="166"/>
      <c r="L40" s="168" t="s">
        <v>360</v>
      </c>
    </row>
    <row r="41" spans="2:12" s="169" customFormat="1" ht="57" x14ac:dyDescent="0.3">
      <c r="B41" s="173" t="s">
        <v>361</v>
      </c>
      <c r="C41" s="175" t="s">
        <v>362</v>
      </c>
      <c r="D41" s="177">
        <v>0</v>
      </c>
      <c r="E41" s="175" t="s">
        <v>363</v>
      </c>
      <c r="F41" s="175" t="s">
        <v>364</v>
      </c>
      <c r="G41" s="175" t="s">
        <v>365</v>
      </c>
      <c r="H41" s="175" t="s">
        <v>366</v>
      </c>
      <c r="I41" s="167" t="s">
        <v>367</v>
      </c>
      <c r="J41" s="170"/>
      <c r="K41" s="170"/>
      <c r="L41" s="168" t="s">
        <v>368</v>
      </c>
    </row>
    <row r="43" spans="2:12" ht="43.5" customHeight="1" x14ac:dyDescent="0.3">
      <c r="B43" s="290" t="s">
        <v>369</v>
      </c>
      <c r="C43" s="290"/>
      <c r="D43" s="290"/>
      <c r="E43" s="290"/>
      <c r="F43" s="290"/>
      <c r="G43" s="290"/>
      <c r="H43" s="290"/>
      <c r="I43" s="290"/>
      <c r="J43" s="290"/>
      <c r="K43" s="290"/>
      <c r="L43" s="290"/>
    </row>
  </sheetData>
  <sheetProtection algorithmName="SHA-512" hashValue="J0TG4UHjB3bq41qFGj/wVRr7YxB4WVSlJNwVtF6PvdXiVvLYqRk43dybT70My0o5YTUF24htZBCer2q1a1e/PA==" saltValue="QoqPrs+j54jCf8ytT7lhkg==" spinCount="100000" sheet="1" objects="1" scenarios="1"/>
  <mergeCells count="14">
    <mergeCell ref="B8:L8"/>
    <mergeCell ref="B1:L1"/>
    <mergeCell ref="B2:L2"/>
    <mergeCell ref="B3:L3"/>
    <mergeCell ref="B4:L4"/>
    <mergeCell ref="B5:L7"/>
    <mergeCell ref="B32:L32"/>
    <mergeCell ref="B43:L43"/>
    <mergeCell ref="B9:L9"/>
    <mergeCell ref="B10:L10"/>
    <mergeCell ref="B21:L21"/>
    <mergeCell ref="B22:L22"/>
    <mergeCell ref="B23:L23"/>
    <mergeCell ref="B31:L31"/>
  </mergeCells>
  <pageMargins left="0.25" right="0.25" top="0.75" bottom="0.75" header="0.3" footer="0.3"/>
  <pageSetup paperSize="8" scale="76"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166f2ae-460f-4e82-99dd-4a572b1247d8">
      <Terms xmlns="http://schemas.microsoft.com/office/infopath/2007/PartnerControls"/>
    </lcf76f155ced4ddcb4097134ff3c332f>
    <TaxCatchAll xmlns="32d9da29-3d45-438f-9c2a-05d4d98f79e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08BC916699FA144AE055FEA4A44A0E0" ma:contentTypeVersion="16" ma:contentTypeDescription="Crée un document." ma:contentTypeScope="" ma:versionID="a345763f627fea96e81a0e4f3a27a595">
  <xsd:schema xmlns:xsd="http://www.w3.org/2001/XMLSchema" xmlns:xs="http://www.w3.org/2001/XMLSchema" xmlns:p="http://schemas.microsoft.com/office/2006/metadata/properties" xmlns:ns2="c166f2ae-460f-4e82-99dd-4a572b1247d8" xmlns:ns3="32d9da29-3d45-438f-9c2a-05d4d98f79e4" targetNamespace="http://schemas.microsoft.com/office/2006/metadata/properties" ma:root="true" ma:fieldsID="739ab56bbf30c095f3ed7ecd44bb3437" ns2:_="" ns3:_="">
    <xsd:import namespace="c166f2ae-460f-4e82-99dd-4a572b1247d8"/>
    <xsd:import namespace="32d9da29-3d45-438f-9c2a-05d4d98f79e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66f2ae-460f-4e82-99dd-4a572b1247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Balises d’images" ma:readOnly="false" ma:fieldId="{5cf76f15-5ced-4ddc-b409-7134ff3c332f}" ma:taxonomyMulti="true" ma:sspId="1774ea4a-61ee-4b8e-9f7e-f9d0f96511b1"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d9da29-3d45-438f-9c2a-05d4d98f79e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ae42cd2-64e2-4b95-864c-e3a29dd89315}" ma:internalName="TaxCatchAll" ma:showField="CatchAllData" ma:web="32d9da29-3d45-438f-9c2a-05d4d98f79e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B0E8DF1-DDD4-4365-BAC2-21885287FB8D}">
  <ds:schemaRefs>
    <ds:schemaRef ds:uri="c166f2ae-460f-4e82-99dd-4a572b1247d8"/>
    <ds:schemaRef ds:uri="http://purl.org/dc/dcmitype/"/>
    <ds:schemaRef ds:uri="http://purl.org/dc/terms/"/>
    <ds:schemaRef ds:uri="http://schemas.microsoft.com/office/infopath/2007/PartnerControls"/>
    <ds:schemaRef ds:uri="http://schemas.openxmlformats.org/package/2006/metadata/core-properties"/>
    <ds:schemaRef ds:uri="http://purl.org/dc/elements/1.1/"/>
    <ds:schemaRef ds:uri="http://schemas.microsoft.com/office/2006/documentManagement/types"/>
    <ds:schemaRef ds:uri="http://schemas.microsoft.com/office/2006/metadata/properties"/>
    <ds:schemaRef ds:uri="32d9da29-3d45-438f-9c2a-05d4d98f79e4"/>
    <ds:schemaRef ds:uri="http://www.w3.org/XML/1998/namespace"/>
  </ds:schemaRefs>
</ds:datastoreItem>
</file>

<file path=customXml/itemProps2.xml><?xml version="1.0" encoding="utf-8"?>
<ds:datastoreItem xmlns:ds="http://schemas.openxmlformats.org/officeDocument/2006/customXml" ds:itemID="{92B073EA-0B37-4A6D-A407-A8133822ACEF}">
  <ds:schemaRefs>
    <ds:schemaRef ds:uri="http://schemas.microsoft.com/sharepoint/v3/contenttype/forms"/>
  </ds:schemaRefs>
</ds:datastoreItem>
</file>

<file path=customXml/itemProps3.xml><?xml version="1.0" encoding="utf-8"?>
<ds:datastoreItem xmlns:ds="http://schemas.openxmlformats.org/officeDocument/2006/customXml" ds:itemID="{8AEF225A-B9B4-4C9A-AE3F-6259A6F717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66f2ae-460f-4e82-99dd-4a572b1247d8"/>
    <ds:schemaRef ds:uri="32d9da29-3d45-438f-9c2a-05d4d98f79e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Inputs</vt:lpstr>
      <vt:lpstr>Results-P&amp;L</vt:lpstr>
      <vt:lpstr>PUE Impact</vt:lpstr>
      <vt:lpstr>Data</vt:lpstr>
      <vt:lpstr>SeasonalFactor</vt:lpstr>
      <vt:lpstr>Meteo data + EER</vt:lpstr>
      <vt:lpstr>Calculations</vt:lpstr>
      <vt:lpstr>Equipment 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Louis-Marie Le Leuch</dc:creator>
  <cp:keywords/>
  <dc:description/>
  <cp:lastModifiedBy>Jo-Ann Garbutt</cp:lastModifiedBy>
  <cp:revision/>
  <cp:lastPrinted>2026-03-12T14:48:03Z</cp:lastPrinted>
  <dcterms:created xsi:type="dcterms:W3CDTF">2025-10-23T08:44:00Z</dcterms:created>
  <dcterms:modified xsi:type="dcterms:W3CDTF">2026-04-10T06:13:45Z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0x010100C08BC916699FA144AE055FEA4A44A0E0</vt:lpwstr>
  </property>
  <property fmtid="{D5CDD505-2E9C-101B-9397-08002B2CF9AE}" pid="3" name="MediaServiceImageTags">
    <vt:lpwstr/>
  </property>
</Properties>
</file>